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<sst xmlns="http://schemas.openxmlformats.org/spreadsheetml/2006/main" count="190" uniqueCount="112">
  <si>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</si>
  <si>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</si>
  <si>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</si>
  <si>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</si>
  <si>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</si>
  <si>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</si>
  <si>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</si>
  <si>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</si>
  <si>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</si>
  <si>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</si>
  <si>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</si>
  <si>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</si>
  <si>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</si>
  <si>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</si>
  <si>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</si>
  <si>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</si>
  <si>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</si>
  <si>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</si>
  <si>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</si>
  <si>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</si>
  <si>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</si>
  <si>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</si>
  <si>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</si>
  <si>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</si>
  <si>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</si>
  <si>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</si>
  <si>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</si>
  <si>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</si>
  <si>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</si>
  <si>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</si>
  <si>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</si>
  <si>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</si>
  <si>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</si>
  <si>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</si>
  <si>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</si>
  <si>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</si>
  <si>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</si>
  <si>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</si>
  <si>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</si>
  <si>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</si>
  <si>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</si>
  <si>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</si>
  <si>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</si>
  <si>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</si>
  <si>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Bob</t>
  </si>
  <si>
    <t>Tim</t>
  </si>
  <si>
    <t>Jerry</t>
  </si>
  <si>
    <t>Sager</t>
  </si>
  <si>
    <t>Edwards</t>
  </si>
  <si>
    <t>Pay</t>
  </si>
  <si>
    <t>Wojcik</t>
  </si>
  <si>
    <t>F</t>
  </si>
  <si>
    <t>Carstensen</t>
  </si>
  <si>
    <t>Leon</t>
  </si>
  <si>
    <t>Joslin</t>
  </si>
  <si>
    <t>WA</t>
  </si>
  <si>
    <t>MT</t>
  </si>
  <si>
    <t>CO</t>
  </si>
  <si>
    <t>FL</t>
  </si>
  <si>
    <t>OR</t>
  </si>
  <si>
    <t>Jeff</t>
  </si>
  <si>
    <t>Crothers</t>
  </si>
  <si>
    <t xml:space="preserve">Ray </t>
  </si>
  <si>
    <t>Burton</t>
  </si>
  <si>
    <t>Richard</t>
  </si>
  <si>
    <t>Watson</t>
  </si>
  <si>
    <t xml:space="preserve">Tom </t>
  </si>
  <si>
    <t>Meyer</t>
  </si>
  <si>
    <t>Allen</t>
  </si>
  <si>
    <t>Todd</t>
  </si>
  <si>
    <t>Taylor</t>
  </si>
  <si>
    <t>Dick</t>
  </si>
  <si>
    <t>Dow</t>
  </si>
  <si>
    <t>Robin</t>
  </si>
  <si>
    <t>Herron</t>
  </si>
  <si>
    <t>Lawson</t>
  </si>
  <si>
    <t>Ward</t>
  </si>
  <si>
    <t>Doug</t>
  </si>
  <si>
    <t>Tomlinson</t>
  </si>
  <si>
    <t>Feick</t>
  </si>
  <si>
    <t>Allison</t>
  </si>
  <si>
    <t>Harvey</t>
  </si>
  <si>
    <t>Lewellen</t>
  </si>
  <si>
    <t>Jaackson</t>
  </si>
  <si>
    <t>OH</t>
  </si>
  <si>
    <t>Aloha</t>
  </si>
  <si>
    <t>San Diego</t>
  </si>
  <si>
    <t>AZ</t>
  </si>
  <si>
    <t>Wilsall</t>
  </si>
  <si>
    <t>Commerce City</t>
  </si>
  <si>
    <t>Berea</t>
  </si>
  <si>
    <t>Molalla</t>
  </si>
  <si>
    <t>Ft. Collins</t>
  </si>
  <si>
    <t>Ocean Shores</t>
  </si>
  <si>
    <t>Dallas</t>
  </si>
  <si>
    <t>TX</t>
  </si>
  <si>
    <t>Fallbrook</t>
  </si>
  <si>
    <t>Gilbertsville</t>
  </si>
  <si>
    <t>PA</t>
  </si>
  <si>
    <t>Spring Hill</t>
  </si>
  <si>
    <t>Eugene</t>
  </si>
  <si>
    <t>Seattle</t>
  </si>
  <si>
    <t>Joyce</t>
  </si>
  <si>
    <t xml:space="preserve">Georgia </t>
  </si>
  <si>
    <t>Cutler</t>
  </si>
  <si>
    <t xml:space="preserve">Carol </t>
  </si>
  <si>
    <t>Young</t>
  </si>
  <si>
    <t xml:space="preserve">Melicent </t>
  </si>
  <si>
    <t>Whinston</t>
  </si>
  <si>
    <t>Marietta</t>
  </si>
  <si>
    <t>GA</t>
  </si>
  <si>
    <t>Portland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</si>
</sst>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56493404"/>
        <c:axId val="38678589"/>
      </c:scatterChart>
      <c:valAx>
        <c:axId val="5649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78589"/>
        <c:crosses val="autoZero"/>
        <c:crossBetween val="midCat"/>
        <c:dispUnits/>
      </c:valAx>
      <c:valAx>
        <c:axId val="3867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93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zoomScale="98" zoomScaleNormal="98" workbookViewId="0" topLeftCell="A10">
      <pane ySplit="525" topLeftCell="BM1" activePane="bottomLeft" state="split"/>
      <selection pane="topLeft" activeCell="Z10" sqref="Z1:Z16384"/>
      <selection pane="bottomLeft" activeCell="Y42" sqref="Y42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9.28125" style="0" bestFit="1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33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6">
        <v>51</v>
      </c>
      <c r="B8" s="34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20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30" t="s">
        <v>0</v>
      </c>
      <c r="B10" s="31" t="s">
        <v>31</v>
      </c>
      <c r="C10" s="32" t="s">
        <v>29</v>
      </c>
      <c r="D10" s="32" t="s">
        <v>30</v>
      </c>
      <c r="E10" s="20" t="s">
        <v>33</v>
      </c>
      <c r="F10" s="19" t="s">
        <v>20</v>
      </c>
      <c r="G10" s="22" t="s">
        <v>17</v>
      </c>
      <c r="H10" s="19" t="s">
        <v>21</v>
      </c>
      <c r="I10" s="20" t="s">
        <v>17</v>
      </c>
      <c r="J10" s="19" t="s">
        <v>22</v>
      </c>
      <c r="K10" s="20" t="s">
        <v>17</v>
      </c>
      <c r="L10" s="19" t="s">
        <v>23</v>
      </c>
      <c r="M10" s="20" t="s">
        <v>17</v>
      </c>
      <c r="N10" s="19" t="s">
        <v>24</v>
      </c>
      <c r="O10" s="20" t="s">
        <v>17</v>
      </c>
      <c r="P10" s="19" t="s">
        <v>25</v>
      </c>
      <c r="Q10" s="20" t="s">
        <v>17</v>
      </c>
      <c r="R10" s="19" t="s">
        <v>26</v>
      </c>
      <c r="S10" s="20" t="s">
        <v>17</v>
      </c>
      <c r="T10" s="19" t="s">
        <v>27</v>
      </c>
      <c r="U10" s="20" t="s">
        <v>17</v>
      </c>
      <c r="V10" s="19" t="s">
        <v>28</v>
      </c>
      <c r="W10" s="20" t="s">
        <v>17</v>
      </c>
      <c r="X10" s="32" t="s">
        <v>38</v>
      </c>
      <c r="Y10" s="32" t="s">
        <v>18</v>
      </c>
      <c r="Z10" s="32" t="s">
        <v>19</v>
      </c>
    </row>
    <row r="11" spans="1:26" ht="12.75">
      <c r="A11" s="6">
        <v>46</v>
      </c>
      <c r="B11" s="34" t="s">
        <v>34</v>
      </c>
      <c r="C11" t="s">
        <v>60</v>
      </c>
      <c r="D11" t="s">
        <v>61</v>
      </c>
      <c r="E11" s="21">
        <f aca="true" t="shared" si="0" ref="E11:E27">SUM(G11+I11+K11+M11+O11+Q11+S11+U11+W11)</f>
        <v>2418</v>
      </c>
      <c r="F11" s="18"/>
      <c r="G11" s="2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21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21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21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>
        <v>10.64</v>
      </c>
      <c r="O11" s="21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590</v>
      </c>
      <c r="P11" s="18">
        <v>6.96</v>
      </c>
      <c r="Q11" s="21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609</v>
      </c>
      <c r="R11" s="18">
        <v>2.72</v>
      </c>
      <c r="S11" s="21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450</v>
      </c>
      <c r="T11" s="18">
        <v>1.14</v>
      </c>
      <c r="U11" s="21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360</v>
      </c>
      <c r="V11" s="18">
        <v>0.63</v>
      </c>
      <c r="W11" s="21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409</v>
      </c>
      <c r="X11" s="27">
        <v>38605</v>
      </c>
      <c r="Y11" t="s">
        <v>83</v>
      </c>
      <c r="Z11" s="12" t="s">
        <v>84</v>
      </c>
    </row>
    <row r="12" spans="1:26" ht="12.75">
      <c r="A12" s="6">
        <v>49</v>
      </c>
      <c r="B12" s="34" t="s">
        <v>34</v>
      </c>
      <c r="C12" t="s">
        <v>62</v>
      </c>
      <c r="D12" t="s">
        <v>63</v>
      </c>
      <c r="E12" s="21">
        <f t="shared" si="0"/>
        <v>1769</v>
      </c>
      <c r="F12" s="18"/>
      <c r="G12" s="23">
        <f>IF($B12="M",(IF(OR(F12=0,F12*0.9308*VLOOKUP($A12,Partridge!$A$3:$J$73,2)&lt;1.5),0,INT(51.39*((INT(100*((((INT(100*F12))/100)*0.9308*VLOOKUP($A12,Partridge!$A$3:$J$73,2))))/100-1.5)^1.05)))),IF($B12="F",(IF(OR(F12=0,F12*2*0.9308*VLOOKUP($A12,Partridge!$A$3:$J$73,2)&lt;1.5),0,INT(56.0211*((INT(100*((((INT(100*F12))/100)*2*0.9308*VLOOKUP($A12,Partridge!$A$3:$J$73,2))))/100-1.5)^1.05)))),"M/F?"))</f>
        <v>0</v>
      </c>
      <c r="H12" s="18"/>
      <c r="I12" s="21">
        <f>IF($B12="M",(IF(OR(H12=0,H12*VLOOKUP($A12,Partridge!$A$3:$J$73,3)&lt;1.5),0,INT(51.39*((INT(100*((((INT(100*H12))/100)*VLOOKUP($A12,Partridge!$A$3:$J$73,3))))/100-1.5)^1.05)))),IF($B12="F",(IF(OR(H12=0,H12*2*VLOOKUP($A12,Partridge!$A$3:$J$73,3)&lt;1.5),0,INT(56.0211*((INT(100*((((INT(100*H12))/100)*2*VLOOKUP($A12,Partridge!$A$3:$J$73,3))))/100-1.5)^1.05)))),"M/F?"))</f>
        <v>0</v>
      </c>
      <c r="J12" s="18"/>
      <c r="K12" s="21">
        <f>IF($B12="M",(IF(OR(J12=0,J12*VLOOKUP($A12,Partridge!$A$3:$J$73,4)&lt;1.5),0,INT(51.39*((INT(100*((((INT(100*J12))/100)*VLOOKUP($A12,Partridge!$A$3:$J$73,4))))/100-1.5)^1.05)))),IF($B12="F",(IF(OR(J12=0,J12*2*VLOOKUP($A12,Partridge!$A$3:$J$73,4)&lt;1.5),0,INT(56.0211*((INT(100*((((INT(100*J12))/100)*2*VLOOKUP($A12,Partridge!$A$3:$J$73,4))))/100-1.5)^1.05)))),"M/F?"))</f>
        <v>0</v>
      </c>
      <c r="L12" s="18"/>
      <c r="M12" s="21">
        <f>IF($B12="M",(IF(OR(L12=0,L12*VLOOKUP($A12,Partridge!$A$3:$J$73,5)&lt;1.5),0,INT(51.39*((INT(100*((((INT(100*L12))/100)*VLOOKUP($A12,Partridge!$A$3:$J$73,5))))/100-1.5)^1.05)))),IF($B12="F",(IF(OR(L12=0,L12*2*VLOOKUP($A12,Partridge!$A$3:$J$73,5)&lt;1.5),0,INT(56.02111*((INT(100*((((INT(100*L12))/100)*2*VLOOKUP($A12,Partridge!$A$3:$J$73,5))))/100-1.5)^1.05)))),"M/F?"))</f>
        <v>0</v>
      </c>
      <c r="N12" s="18">
        <v>14.17</v>
      </c>
      <c r="O12" s="21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878</v>
      </c>
      <c r="P12" s="18">
        <v>9.13</v>
      </c>
      <c r="Q12" s="21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891</v>
      </c>
      <c r="R12" s="18"/>
      <c r="S12" s="21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0</v>
      </c>
      <c r="T12" s="18"/>
      <c r="U12" s="21">
        <f>IF($B12="M",(IF(OR(T12=0,T12*VLOOKUP($A12,Partridge!$A$3:$J$73,9)&lt;1.5),0,INT(51.39*((INT(100*((((INT(100*T12))/100)*VLOOKUP($A12,Partridge!$A$3:$J$73,9))))/100-1.5)^1.05)))),IF($B12="F",(IF(OR(T12=0,T12*2*VLOOKUP($A12,Partridge!$A$3:$J$73,9)&lt;1.5),0,INT(56.0211*((INT(100*((((INT(100*T12))/100)*2*VLOOKUP($A12,Partridge!$A$3:$J$73,9))))/100-1.5)^1.05)))),"M/F?"))</f>
        <v>0</v>
      </c>
      <c r="V12" s="18"/>
      <c r="W12" s="21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0</v>
      </c>
      <c r="X12" s="27">
        <v>38605</v>
      </c>
      <c r="Y12" t="s">
        <v>85</v>
      </c>
      <c r="Z12" s="12" t="s">
        <v>59</v>
      </c>
    </row>
    <row r="13" spans="1:26" ht="12.75">
      <c r="A13" s="6">
        <v>53</v>
      </c>
      <c r="B13" s="34" t="s">
        <v>34</v>
      </c>
      <c r="C13" t="s">
        <v>64</v>
      </c>
      <c r="D13" t="s">
        <v>65</v>
      </c>
      <c r="E13" s="21">
        <f t="shared" si="0"/>
        <v>2707</v>
      </c>
      <c r="F13" s="18"/>
      <c r="G13" s="2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21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21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>
        <v>12.26</v>
      </c>
      <c r="M13" s="21">
        <f>IF($B13="M",(IF(OR(L13=0,L13*VLOOKUP($A13,Partridge!$A$3:$J$73,5)&lt;1.5),0,INT(51.39*((INT(100*((((INT(100*L13))/100)*VLOOKUP($A13,Partridge!$A$3:$J$73,5))))/100-1.5)^1.05)))),IF($B13="F",(IF(OR(L13=0,L13*2*VLOOKUP($A13,Partridge!$A$3:$J$73,5)&lt;1.5),0,INT(56.02111*((INT(100*((((INT(100*L13))/100)*2*VLOOKUP($A13,Partridge!$A$3:$J$73,5))))/100-1.5)^1.05)))),"M/F?"))</f>
        <v>647</v>
      </c>
      <c r="N13" s="18"/>
      <c r="O13" s="21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0</v>
      </c>
      <c r="P13" s="18">
        <v>6.3</v>
      </c>
      <c r="Q13" s="21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630</v>
      </c>
      <c r="R13" s="18">
        <v>2.59</v>
      </c>
      <c r="S13" s="21">
        <f>IF($B13="M",(IF(OR(R13=0,R13*VLOOKUP($A13,Partridge!$A$3:$J$73,8)&lt;1.5),0,INT(51.39*((INT(100*((((INT(100*R13))/100)*VLOOKUP($A13,Partridge!$A$3:$J$73,8))))/100-1.5)^1.05)))),IF($B13="F",(IF(OR(R13=0,R13*2*VLOOKUP($A13,Partridge!$A$3:$J$73,8)&lt;1.5),0,INT(56.0211*((INT(100*((((INT(100*R13))/100)*2*VLOOKUP($A13,Partridge!$A$3:$J$73,8))))/100-1.5)^1.05)))),"M/F?"))</f>
        <v>497</v>
      </c>
      <c r="T13" s="18">
        <v>1.18</v>
      </c>
      <c r="U13" s="21">
        <f>IF($B13="M",(IF(OR(T13=0,T13*VLOOKUP($A13,Partridge!$A$3:$J$73,9)&lt;1.5),0,INT(51.39*((INT(100*((((INT(100*T13))/100)*VLOOKUP($A13,Partridge!$A$3:$J$73,9))))/100-1.5)^1.05)))),IF($B13="F",(IF(OR(T13=0,T13*2*VLOOKUP($A13,Partridge!$A$3:$J$73,9)&lt;1.5),0,INT(56.0211*((INT(100*((((INT(100*T13))/100)*2*VLOOKUP($A13,Partridge!$A$3:$J$73,9))))/100-1.5)^1.05)))),"M/F?"))</f>
        <v>443</v>
      </c>
      <c r="V13" s="18">
        <v>0.64</v>
      </c>
      <c r="W13" s="21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490</v>
      </c>
      <c r="X13" s="27">
        <v>38605</v>
      </c>
      <c r="Z13" s="12" t="s">
        <v>87</v>
      </c>
    </row>
    <row r="14" spans="1:26" ht="12.75">
      <c r="A14" s="6">
        <v>54</v>
      </c>
      <c r="B14" s="34" t="s">
        <v>34</v>
      </c>
      <c r="C14" t="s">
        <v>66</v>
      </c>
      <c r="D14" t="s">
        <v>67</v>
      </c>
      <c r="E14" s="21">
        <f t="shared" si="0"/>
        <v>989</v>
      </c>
      <c r="F14" s="18"/>
      <c r="G14" s="23">
        <f>IF($B13="M",(IF(OR(F14=0,F14*0.9308*VLOOKUP($A13,Partridge!$A$3:$J$73,2)&lt;1.5),0,INT(51.39*((INT(100*((((INT(100*F14))/100)*0.9308*VLOOKUP($A13,Partridge!$A$3:$J$73,2))))/100-1.5)^1.05)))),IF($B13="F",(IF(OR(F14=0,F14*2*0.9308*VLOOKUP($A13,Partridge!$A$3:$J$73,2)&lt;1.5),0,INT(56.0211*((INT(100*((((INT(100*F14))/100)*2*0.9308*VLOOKUP($A13,Partridge!$A$3:$J$73,2))))/100-1.5)^1.05)))),"M/F?"))</f>
        <v>0</v>
      </c>
      <c r="H14" s="18"/>
      <c r="I14" s="21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18"/>
      <c r="K14" s="21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18">
        <v>17.31</v>
      </c>
      <c r="M14" s="21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989</v>
      </c>
      <c r="N14" s="18"/>
      <c r="O14" s="21">
        <f>IF($B13="M",(IF(OR(N14=0,N14*VLOOKUP($A13,Partridge!$A$3:$J$73,6)&lt;1.5),0,INT(51.39*((INT(100*((((INT(100*N14))/100)*VLOOKUP($A13,Partridge!$A$3:$J$73,6))))/100-1.5)^1.05)))),IF($B13="F",(IF(OR(N14=0,N14*2*VLOOKUP($A13,Partridge!$A$3:$J$73,6)&lt;1.5),0,INT(56.0211*((INT(100*((((INT(100*N14))/100)*2*VLOOKUP($A13,Partridge!$A$3:$J$73,6))))/100-1.5)^1.05)))),"M/F?"))</f>
        <v>0</v>
      </c>
      <c r="P14" s="18"/>
      <c r="Q14" s="21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0</v>
      </c>
      <c r="R14" s="18"/>
      <c r="S14" s="21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0</v>
      </c>
      <c r="T14" s="18"/>
      <c r="U14" s="21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0</v>
      </c>
      <c r="V14" s="18"/>
      <c r="W14" s="21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0</v>
      </c>
      <c r="X14" s="27">
        <v>38605</v>
      </c>
      <c r="Y14" t="s">
        <v>86</v>
      </c>
      <c r="Z14" s="12" t="s">
        <v>16</v>
      </c>
    </row>
    <row r="15" spans="1:26" ht="12.75">
      <c r="A15" s="6">
        <v>57</v>
      </c>
      <c r="B15" s="34" t="s">
        <v>34</v>
      </c>
      <c r="C15" t="s">
        <v>44</v>
      </c>
      <c r="D15" t="s">
        <v>47</v>
      </c>
      <c r="E15" s="21">
        <f t="shared" si="0"/>
        <v>1518</v>
      </c>
      <c r="F15" s="18"/>
      <c r="G15" s="23">
        <f>IF($B14="M",(IF(OR(F15=0,F15*0.9308*VLOOKUP($A14,Partridge!$A$3:$J$73,2)&lt;1.5),0,INT(51.39*((INT(100*((((INT(100*F15))/100)*0.9308*VLOOKUP($A14,Partridge!$A$3:$J$73,2))))/100-1.5)^1.05)))),IF($B14="F",(IF(OR(F15=0,F15*2*0.9308*VLOOKUP($A14,Partridge!$A$3:$J$73,2)&lt;1.5),0,INT(56.0211*((INT(100*((((INT(100*F15))/100)*2*0.9308*VLOOKUP($A14,Partridge!$A$3:$J$73,2))))/100-1.5)^1.05)))),"M/F?"))</f>
        <v>0</v>
      </c>
      <c r="H15" s="18"/>
      <c r="I15" s="21">
        <f>IF($B15="M",(IF(OR(H15=0,H15*VLOOKUP($A15,Partridge!$A$3:$J$73,3)&lt;1.5),0,INT(51.39*((INT(100*((((INT(100*H15))/100)*VLOOKUP($A15,Partridge!$A$3:$J$73,3))))/100-1.5)^1.05)))),IF($B15="F",(IF(OR(H15=0,H15*2*VLOOKUP($A15,Partridge!$A$3:$J$73,3)&lt;1.5),0,INT(56.0211*((INT(100*((((INT(100*H15))/100)*2*VLOOKUP($A15,Partridge!$A$3:$J$73,3))))/100-1.5)^1.05)))),"M/F?"))</f>
        <v>0</v>
      </c>
      <c r="J15" s="18"/>
      <c r="K15" s="21">
        <f>IF($B15="M",(IF(OR(J15=0,J15*VLOOKUP($A15,Partridge!$A$3:$J$73,4)&lt;1.5),0,INT(51.39*((INT(100*((((INT(100*J15))/100)*VLOOKUP($A15,Partridge!$A$3:$J$73,4))))/100-1.5)^1.05)))),IF($B15="F",(IF(OR(J15=0,J15*2*VLOOKUP($A15,Partridge!$A$3:$J$73,4)&lt;1.5),0,INT(56.0211*((INT(100*((((INT(100*J15))/100)*2*VLOOKUP($A15,Partridge!$A$3:$J$73,4))))/100-1.5)^1.05)))),"M/F?"))</f>
        <v>0</v>
      </c>
      <c r="L15" s="18">
        <v>12.99</v>
      </c>
      <c r="M15" s="21">
        <f>IF($B15="M",(IF(OR(L15=0,L15*VLOOKUP($A15,Partridge!$A$3:$J$73,5)&lt;1.5),0,INT(51.39*((INT(100*((((INT(100*L15))/100)*VLOOKUP($A15,Partridge!$A$3:$J$73,5))))/100-1.5)^1.05)))),IF($B15="F",(IF(OR(L15=0,L15*2*VLOOKUP($A15,Partridge!$A$3:$J$73,5)&lt;1.5),0,INT(56.02111*((INT(100*((((INT(100*L15))/100)*2*VLOOKUP($A15,Partridge!$A$3:$J$73,5))))/100-1.5)^1.05)))),"M/F?"))</f>
        <v>760</v>
      </c>
      <c r="N15" s="18"/>
      <c r="O15" s="21">
        <f>IF($B14="M",(IF(OR(N15=0,N15*VLOOKUP($A14,Partridge!$A$3:$J$73,6)&lt;1.5),0,INT(51.39*((INT(100*((((INT(100*N15))/100)*VLOOKUP($A14,Partridge!$A$3:$J$73,6))))/100-1.5)^1.05)))),IF($B14="F",(IF(OR(N15=0,N15*2*VLOOKUP($A14,Partridge!$A$3:$J$73,6)&lt;1.5),0,INT(56.0211*((INT(100*((((INT(100*N15))/100)*2*VLOOKUP($A14,Partridge!$A$3:$J$73,6))))/100-1.5)^1.05)))),"M/F?"))</f>
        <v>0</v>
      </c>
      <c r="P15" s="18">
        <v>6.78</v>
      </c>
      <c r="Q15" s="21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758</v>
      </c>
      <c r="R15" s="18"/>
      <c r="S15" s="21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0</v>
      </c>
      <c r="T15" s="18"/>
      <c r="U15" s="21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0</v>
      </c>
      <c r="V15" s="18"/>
      <c r="W15" s="21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0</v>
      </c>
      <c r="X15" s="27">
        <v>38605</v>
      </c>
      <c r="Y15" t="s">
        <v>88</v>
      </c>
      <c r="Z15" s="12" t="s">
        <v>56</v>
      </c>
    </row>
    <row r="16" spans="1:26" ht="12.75">
      <c r="A16" s="6">
        <v>57</v>
      </c>
      <c r="B16" s="34" t="s">
        <v>34</v>
      </c>
      <c r="C16" t="s">
        <v>45</v>
      </c>
      <c r="D16" t="s">
        <v>48</v>
      </c>
      <c r="E16" s="21">
        <f t="shared" si="0"/>
        <v>3924</v>
      </c>
      <c r="F16" s="18"/>
      <c r="G16" s="23">
        <f>IF($B14="M",(IF(OR(F16=0,F16*0.9308*VLOOKUP($A14,Partridge!$A$3:$J$73,2)&lt;1.5),0,INT(51.39*((INT(100*((((INT(100*F16))/100)*0.9308*VLOOKUP($A14,Partridge!$A$3:$J$73,2))))/100-1.5)^1.05)))),IF($B14="F",(IF(OR(F16=0,F16*2*0.9308*VLOOKUP($A14,Partridge!$A$3:$J$73,2)&lt;1.5),0,INT(56.0211*((INT(100*((((INT(100*F16))/100)*2*0.9308*VLOOKUP($A14,Partridge!$A$3:$J$73,2))))/100-1.5)^1.05)))),"M/F?"))</f>
        <v>0</v>
      </c>
      <c r="H16" s="18"/>
      <c r="I16" s="21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21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>
        <v>14.87</v>
      </c>
      <c r="M16" s="21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890</v>
      </c>
      <c r="N16" s="18"/>
      <c r="O16" s="21">
        <f>IF($B14="M",(IF(OR(N16=0,N16*VLOOKUP($A14,Partridge!$A$3:$J$73,6)&lt;1.5),0,INT(51.39*((INT(100*((((INT(100*N16))/100)*VLOOKUP($A14,Partridge!$A$3:$J$73,6))))/100-1.5)^1.05)))),IF($B14="F",(IF(OR(N16=0,N16*2*VLOOKUP($A14,Partridge!$A$3:$J$73,6)&lt;1.5),0,INT(56.0211*((INT(100*((((INT(100*N16))/100)*2*VLOOKUP($A14,Partridge!$A$3:$J$73,6))))/100-1.5)^1.05)))),"M/F?"))</f>
        <v>0</v>
      </c>
      <c r="P16" s="18">
        <v>7.48</v>
      </c>
      <c r="Q16" s="21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851</v>
      </c>
      <c r="R16" s="18">
        <v>2.65</v>
      </c>
      <c r="S16" s="21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566</v>
      </c>
      <c r="T16" s="18">
        <v>1.62</v>
      </c>
      <c r="U16" s="21">
        <f>IF($B16="M",(IF(OR(T16=0,T16*VLOOKUP($A16,Partridge!$A$3:$J$73,9)&lt;1.5),0,INT(51.39*((INT(100*((((INT(100*T16))/100)*VLOOKUP($A16,Partridge!$A$3:$J$73,9))))/100-1.5)^1.05)))),IF($B16="F",(IF(OR(T16=0,T16*2*VLOOKUP($A16,Partridge!$A$3:$J$73,9)&lt;1.5),0,INT(56.0211*((INT(100*((((INT(100*T16))/100)*2*VLOOKUP($A16,Partridge!$A$3:$J$73,9))))/100-1.5)^1.05)))),"M/F?"))</f>
        <v>719</v>
      </c>
      <c r="V16" s="18">
        <v>0.98</v>
      </c>
      <c r="W16" s="21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898</v>
      </c>
      <c r="X16" s="27">
        <v>38605</v>
      </c>
      <c r="Y16" t="s">
        <v>89</v>
      </c>
      <c r="Z16" s="12" t="s">
        <v>57</v>
      </c>
    </row>
    <row r="17" spans="1:26" ht="12.75">
      <c r="A17" s="6">
        <v>58</v>
      </c>
      <c r="B17" s="34" t="s">
        <v>34</v>
      </c>
      <c r="C17" t="s">
        <v>62</v>
      </c>
      <c r="D17" t="s">
        <v>68</v>
      </c>
      <c r="E17" s="21">
        <f t="shared" si="0"/>
        <v>4618</v>
      </c>
      <c r="F17" s="18"/>
      <c r="G17" s="23">
        <f>IF($B17="M",(IF(OR(F17=0,F17*0.9308*VLOOKUP($A17,Partridge!$A$3:$J$73,2)&lt;1.5),0,INT(51.39*((INT(100*((((INT(100*F17))/100)*0.9308*VLOOKUP($A17,Partridge!$A$3:$J$73,2))))/100-1.5)^1.05)))),IF($B17="F",(IF(OR(F17=0,F17*2*0.9308*VLOOKUP($A17,Partridge!$A$3:$J$73,2)&lt;1.5),0,INT(56.0211*((INT(100*((((INT(100*F17))/100)*2*0.9308*VLOOKUP($A17,Partridge!$A$3:$J$73,2))))/100-1.5)^1.05)))),"M/F?"))</f>
        <v>0</v>
      </c>
      <c r="H17" s="18"/>
      <c r="I17" s="21">
        <f>IF($B17="M",(IF(OR(H17=0,H17*VLOOKUP($A17,Partridge!$A$3:$J$73,3)&lt;1.5),0,INT(51.39*((INT(100*((((INT(100*H17))/100)*VLOOKUP($A17,Partridge!$A$3:$J$73,3))))/100-1.5)^1.05)))),IF($B17="F",(IF(OR(H17=0,H17*2*VLOOKUP($A17,Partridge!$A$3:$J$73,3)&lt;1.5),0,INT(56.0211*((INT(100*((((INT(100*H17))/100)*2*VLOOKUP($A17,Partridge!$A$3:$J$73,3))))/100-1.5)^1.05)))),"M/F?"))</f>
        <v>0</v>
      </c>
      <c r="J17" s="18"/>
      <c r="K17" s="21">
        <f>IF($B17="M",(IF(OR(J17=0,J17*VLOOKUP($A17,Partridge!$A$3:$J$73,4)&lt;1.5),0,INT(51.39*((INT(100*((((INT(100*J17))/100)*VLOOKUP($A17,Partridge!$A$3:$J$73,4))))/100-1.5)^1.05)))),IF($B17="F",(IF(OR(J17=0,J17*2*VLOOKUP($A17,Partridge!$A$3:$J$73,4)&lt;1.5),0,INT(56.0211*((INT(100*((((INT(100*J17))/100)*2*VLOOKUP($A17,Partridge!$A$3:$J$73,4))))/100-1.5)^1.05)))),"M/F?"))</f>
        <v>0</v>
      </c>
      <c r="L17" s="18">
        <v>14.15</v>
      </c>
      <c r="M17" s="21">
        <f>IF($B17="M",(IF(OR(L17=0,L17*VLOOKUP($A17,Partridge!$A$3:$J$73,5)&lt;1.5),0,INT(51.39*((INT(100*((((INT(100*L17))/100)*VLOOKUP($A17,Partridge!$A$3:$J$73,5))))/100-1.5)^1.05)))),IF($B17="F",(IF(OR(L17=0,L17*2*VLOOKUP($A17,Partridge!$A$3:$J$73,5)&lt;1.5),0,INT(56.02111*((INT(100*((((INT(100*L17))/100)*2*VLOOKUP($A17,Partridge!$A$3:$J$73,5))))/100-1.5)^1.05)))),"M/F?"))</f>
        <v>860</v>
      </c>
      <c r="N17" s="18"/>
      <c r="O17" s="21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0</v>
      </c>
      <c r="P17" s="18">
        <v>6.52</v>
      </c>
      <c r="Q17" s="21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743</v>
      </c>
      <c r="R17" s="18">
        <v>3.32</v>
      </c>
      <c r="S17" s="21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759</v>
      </c>
      <c r="T17" s="18">
        <v>2.14</v>
      </c>
      <c r="U17" s="21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1019</v>
      </c>
      <c r="V17" s="18">
        <v>1.27</v>
      </c>
      <c r="W17" s="21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1237</v>
      </c>
      <c r="X17" s="27">
        <v>38605</v>
      </c>
      <c r="Y17" t="s">
        <v>90</v>
      </c>
      <c r="Z17" s="12" t="s">
        <v>84</v>
      </c>
    </row>
    <row r="18" spans="1:26" ht="12.75">
      <c r="A18" s="6">
        <v>58</v>
      </c>
      <c r="B18" s="34" t="s">
        <v>34</v>
      </c>
      <c r="C18" t="s">
        <v>69</v>
      </c>
      <c r="D18" t="s">
        <v>70</v>
      </c>
      <c r="E18" s="21">
        <f t="shared" si="0"/>
        <v>4576</v>
      </c>
      <c r="F18" s="18"/>
      <c r="G18" s="23">
        <f>IF($B18="M",(IF(OR(F18=0,F18*0.9308*VLOOKUP($A18,Partridge!$A$3:$J$73,2)&lt;1.5),0,INT(51.39*((INT(100*((((INT(100*F18))/100)*0.9308*VLOOKUP($A18,Partridge!$A$3:$J$73,2))))/100-1.5)^1.05)))),IF($B18="F",(IF(OR(F18=0,F18*2*0.9308*VLOOKUP($A18,Partridge!$A$3:$J$73,2)&lt;1.5),0,INT(56.0211*((INT(100*((((INT(100*F18))/100)*2*0.9308*VLOOKUP($A18,Partridge!$A$3:$J$73,2))))/100-1.5)^1.05)))),"M/F?"))</f>
        <v>0</v>
      </c>
      <c r="H18" s="18"/>
      <c r="I18" s="21">
        <f>IF($B18="M",(IF(OR(H18=0,H18*VLOOKUP($A18,Partridge!$A$3:$J$73,3)&lt;1.5),0,INT(51.39*((INT(100*((((INT(100*H18))/100)*VLOOKUP($A18,Partridge!$A$3:$J$73,3))))/100-1.5)^1.05)))),IF($B18="F",(IF(OR(H18=0,H18*2*VLOOKUP($A18,Partridge!$A$3:$J$73,3)&lt;1.5),0,INT(56.0211*((INT(100*((((INT(100*H18))/100)*2*VLOOKUP($A18,Partridge!$A$3:$J$73,3))))/100-1.5)^1.05)))),"M/F?"))</f>
        <v>0</v>
      </c>
      <c r="J18" s="18"/>
      <c r="K18" s="21">
        <f>IF($B18="M",(IF(OR(J18=0,J18*VLOOKUP($A18,Partridge!$A$3:$J$73,4)&lt;1.5),0,INT(51.39*((INT(100*((((INT(100*J18))/100)*VLOOKUP($A18,Partridge!$A$3:$J$73,4))))/100-1.5)^1.05)))),IF($B18="F",(IF(OR(J18=0,J18*2*VLOOKUP($A18,Partridge!$A$3:$J$73,4)&lt;1.5),0,INT(56.0211*((INT(100*((((INT(100*J18))/100)*2*VLOOKUP($A18,Partridge!$A$3:$J$73,4))))/100-1.5)^1.05)))),"M/F?"))</f>
        <v>0</v>
      </c>
      <c r="L18" s="18">
        <v>17.24</v>
      </c>
      <c r="M18" s="21">
        <f>IF($B18="M",(IF(OR(L18=0,L18*VLOOKUP($A18,Partridge!$A$3:$J$73,5)&lt;1.5),0,INT(51.39*((INT(100*((((INT(100*L18))/100)*VLOOKUP($A18,Partridge!$A$3:$J$73,5))))/100-1.5)^1.05)))),IF($B18="F",(IF(OR(L18=0,L18*2*VLOOKUP($A18,Partridge!$A$3:$J$73,5)&lt;1.5),0,INT(56.02111*((INT(100*((((INT(100*L18))/100)*2*VLOOKUP($A18,Partridge!$A$3:$J$73,5))))/100-1.5)^1.05)))),"M/F?"))</f>
        <v>1079</v>
      </c>
      <c r="N18" s="18"/>
      <c r="O18" s="21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0</v>
      </c>
      <c r="P18" s="18">
        <v>8.6</v>
      </c>
      <c r="Q18" s="21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1024</v>
      </c>
      <c r="R18" s="18">
        <v>4.16</v>
      </c>
      <c r="S18" s="21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986</v>
      </c>
      <c r="T18" s="18">
        <v>1.54</v>
      </c>
      <c r="U18" s="21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695</v>
      </c>
      <c r="V18" s="18">
        <v>0.86</v>
      </c>
      <c r="W18" s="21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792</v>
      </c>
      <c r="X18" s="27">
        <v>38605</v>
      </c>
      <c r="Y18" t="s">
        <v>91</v>
      </c>
      <c r="Z18" s="12" t="s">
        <v>59</v>
      </c>
    </row>
    <row r="19" spans="1:24" ht="12.75">
      <c r="A19" s="6">
        <v>66</v>
      </c>
      <c r="B19" s="34" t="s">
        <v>34</v>
      </c>
      <c r="C19" t="s">
        <v>71</v>
      </c>
      <c r="D19" t="s">
        <v>72</v>
      </c>
      <c r="E19" s="21">
        <f t="shared" si="0"/>
        <v>386</v>
      </c>
      <c r="F19" s="18"/>
      <c r="G19" s="2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21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>
        <v>7.53</v>
      </c>
      <c r="K19" s="21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386</v>
      </c>
      <c r="L19" s="18"/>
      <c r="M19" s="21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0</v>
      </c>
      <c r="N19" s="18"/>
      <c r="O19" s="21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0</v>
      </c>
      <c r="P19" s="18"/>
      <c r="Q19" s="21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0</v>
      </c>
      <c r="R19" s="18"/>
      <c r="S19" s="21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0</v>
      </c>
      <c r="T19" s="18"/>
      <c r="U19" s="21">
        <f>IF($B19="M",(IF(OR(T19=0,T19*VLOOKUP($A19,Partridge!$A$3:$J$73,9)&lt;1.5),0,INT(51.39*((INT(100*((((INT(100*T19))/100)*VLOOKUP($A19,Partridge!$A$3:$J$73,9))))/100-1.5)^1.05)))),IF($B19="F",(IF(OR(T19=0,T19*2*VLOOKUP($A19,Partridge!$A$3:$J$73,9)&lt;1.5),0,INT(56.0211*((INT(100*((((INT(100*T19))/100)*2*VLOOKUP($A19,Partridge!$A$3:$J$73,9))))/100-1.5)^1.05)))),"M/F?"))</f>
        <v>0</v>
      </c>
      <c r="V19" s="18"/>
      <c r="W19" s="21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0</v>
      </c>
      <c r="X19" s="27">
        <v>38605</v>
      </c>
    </row>
    <row r="20" spans="1:24" ht="12.75">
      <c r="A20" s="6">
        <v>68</v>
      </c>
      <c r="B20" s="34" t="s">
        <v>34</v>
      </c>
      <c r="C20" t="s">
        <v>73</v>
      </c>
      <c r="D20" t="s">
        <v>74</v>
      </c>
      <c r="E20" s="21">
        <f t="shared" si="0"/>
        <v>2264</v>
      </c>
      <c r="F20" s="18"/>
      <c r="G20" s="2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H20" s="18"/>
      <c r="I20" s="21">
        <f>IF($B20="M",(IF(OR(H20=0,H20*VLOOKUP($A20,Partridge!$A$3:$J$73,3)&lt;1.5),0,INT(51.39*((INT(100*((((INT(100*H20))/100)*VLOOKUP($A20,Partridge!$A$3:$J$73,3))))/100-1.5)^1.05)))),IF($B20="F",(IF(OR(H20=0,H20*2*VLOOKUP($A20,Partridge!$A$3:$J$73,3)&lt;1.5),0,INT(56.0211*((INT(100*((((INT(100*H20))/100)*2*VLOOKUP($A20,Partridge!$A$3:$J$73,3))))/100-1.5)^1.05)))),"M/F?"))</f>
        <v>0</v>
      </c>
      <c r="J20" s="18">
        <v>12.89</v>
      </c>
      <c r="K20" s="21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790</v>
      </c>
      <c r="L20" s="18"/>
      <c r="M20" s="21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0</v>
      </c>
      <c r="N20" s="18"/>
      <c r="O20" s="21">
        <f>IF($B20="M",(IF(OR(N20=0,N20*VLOOKUP($A20,Partridge!$A$3:$J$73,6)&lt;1.5),0,INT(51.39*((INT(100*((((INT(100*N20))/100)*VLOOKUP($A20,Partridge!$A$3:$J$73,6))))/100-1.5)^1.05)))),IF($B20="F",(IF(OR(N20=0,N20*2*VLOOKUP($A20,Partridge!$A$3:$J$73,6)&lt;1.5),0,INT(56.0211*((INT(100*((((INT(100*N20))/100)*2*VLOOKUP($A20,Partridge!$A$3:$J$73,6))))/100-1.5)^1.05)))),"M/F?"))</f>
        <v>0</v>
      </c>
      <c r="P20" s="18">
        <v>4.05</v>
      </c>
      <c r="Q20" s="21">
        <f>IF($B20="M",(IF(OR(P20=0,P20*VLOOKUP($A20,Partridge!$A$3:$J$73,7)&lt;1.5),0,INT(51.39*((INT(100*((((INT(100*P20))/100)*VLOOKUP($A20,Partridge!$A$3:$J$73,7))))/100-1.5)^1.05)))),IF($B20="F",(IF(OR(P20=0,P20*2*VLOOKUP($A20,Partridge!$A$3:$J$73,7)&lt;1.5),0,INT(56.0211*((INT(100*((((INT(100*P20))/100)*2*VLOOKUP($A20,Partridge!$A$3:$J$73,7))))/100-1.5)^1.05)))),"M/F?"))</f>
        <v>564</v>
      </c>
      <c r="R20" s="18">
        <v>1.84</v>
      </c>
      <c r="S20" s="21">
        <f>IF($B20="M",(IF(OR(R20=0,R20*VLOOKUP($A20,Partridge!$A$3:$J$73,8)&lt;1.5),0,INT(51.39*((INT(100*((((INT(100*R20))/100)*VLOOKUP($A20,Partridge!$A$3:$J$73,8))))/100-1.5)^1.05)))),IF($B20="F",(IF(OR(R20=0,R20*2*VLOOKUP($A20,Partridge!$A$3:$J$73,8)&lt;1.5),0,INT(56.0211*((INT(100*((((INT(100*R20))/100)*2*VLOOKUP($A20,Partridge!$A$3:$J$73,8))))/100-1.5)^1.05)))),"M/F?"))</f>
        <v>502</v>
      </c>
      <c r="T20" s="18">
        <v>0.78</v>
      </c>
      <c r="U20" s="21">
        <f>IF($B20="M",(IF(OR(T20=0,T20*VLOOKUP($A20,Partridge!$A$3:$J$73,9)&lt;1.5),0,INT(51.39*((INT(100*((((INT(100*T20))/100)*VLOOKUP($A20,Partridge!$A$3:$J$73,9))))/100-1.5)^1.05)))),IF($B20="F",(IF(OR(T20=0,T20*2*VLOOKUP($A20,Partridge!$A$3:$J$73,9)&lt;1.5),0,INT(56.0211*((INT(100*((((INT(100*T20))/100)*2*VLOOKUP($A20,Partridge!$A$3:$J$73,9))))/100-1.5)^1.05)))),"M/F?"))</f>
        <v>408</v>
      </c>
      <c r="V20" s="18">
        <v>0.05</v>
      </c>
      <c r="W20" s="21">
        <f>IF($B20="M",(IF(OR(V20=0,V20*VLOOKUP($A20,Partridge!$A$3:$J$73,10)&lt;1.5),0,INT(51.39*((INT(100*((((INT(100*V20))/100)*VLOOKUP($A20,Partridge!$A$3:$J$73,10))))/100-1.5)^1.05)))),IF($B20="F",(IF(OR(V20=0,V20*2*VLOOKUP($A20,Partridge!$A$3:$J$73,10)&lt;1.5),0,INT(56.0211*((INT(100*((((INT(100*V20))/100)*2*VLOOKUP($A20,Partridge!$A$3:$J$73,10))))/100-1.5)^1.05)))),"M/F?"))</f>
        <v>0</v>
      </c>
      <c r="X20" s="27">
        <v>38605</v>
      </c>
    </row>
    <row r="21" spans="1:26" ht="12.75">
      <c r="A21" s="6">
        <v>70</v>
      </c>
      <c r="B21" s="34" t="s">
        <v>34</v>
      </c>
      <c r="C21" t="s">
        <v>44</v>
      </c>
      <c r="D21" t="s">
        <v>75</v>
      </c>
      <c r="E21" s="21">
        <f t="shared" si="0"/>
        <v>1628</v>
      </c>
      <c r="F21" s="18"/>
      <c r="G21" s="23">
        <f>IF($B21="M",(IF(OR(F21=0,F21*0.9308*VLOOKUP($A21,Partridge!$A$3:$J$73,2)&lt;1.5),0,INT(51.39*((INT(100*((((INT(100*F21))/100)*0.9308*VLOOKUP($A21,Partridge!$A$3:$J$73,2))))/100-1.5)^1.05)))),IF($B21="F",(IF(OR(F21=0,F21*2*0.9308*VLOOKUP($A21,Partridge!$A$3:$J$73,2)&lt;1.5),0,INT(56.0211*((INT(100*((((INT(100*F21))/100)*2*0.9308*VLOOKUP($A21,Partridge!$A$3:$J$73,2))))/100-1.5)^1.05)))),"M/F?"))</f>
        <v>0</v>
      </c>
      <c r="H21" s="18">
        <v>15.24</v>
      </c>
      <c r="I21" s="21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900</v>
      </c>
      <c r="J21" s="18"/>
      <c r="K21" s="21">
        <f>IF($B21="M",(IF(OR(J21=0,J21*VLOOKUP($A21,Partridge!$A$3:$J$73,4)&lt;1.5),0,INT(51.39*((INT(100*((((INT(100*J21))/100)*VLOOKUP($A21,Partridge!$A$3:$J$73,4))))/100-1.5)^1.05)))),IF($B21="F",(IF(OR(J21=0,J21*2*VLOOKUP($A21,Partridge!$A$3:$J$73,4)&lt;1.5),0,INT(56.0211*((INT(100*((((INT(100*J21))/100)*2*VLOOKUP($A21,Partridge!$A$3:$J$73,4))))/100-1.5)^1.05)))),"M/F?"))</f>
        <v>0</v>
      </c>
      <c r="L21" s="18"/>
      <c r="M21" s="21">
        <f>IF($B21="M",(IF(OR(L21=0,L21*VLOOKUP($A21,Partridge!$A$3:$J$73,5)&lt;1.5),0,INT(51.39*((INT(100*((((INT(100*L21))/100)*VLOOKUP($A21,Partridge!$A$3:$J$73,5))))/100-1.5)^1.05)))),IF($B21="F",(IF(OR(L21=0,L21*2*VLOOKUP($A21,Partridge!$A$3:$J$73,5)&lt;1.5),0,INT(56.02111*((INT(100*((((INT(100*L21))/100)*2*VLOOKUP($A21,Partridge!$A$3:$J$73,5))))/100-1.5)^1.05)))),"M/F?"))</f>
        <v>0</v>
      </c>
      <c r="N21" s="18">
        <v>7.61</v>
      </c>
      <c r="O21" s="21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728</v>
      </c>
      <c r="P21" s="18"/>
      <c r="Q21" s="21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0</v>
      </c>
      <c r="R21" s="18"/>
      <c r="S21" s="21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0</v>
      </c>
      <c r="T21" s="18"/>
      <c r="U21" s="21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0</v>
      </c>
      <c r="V21" s="18"/>
      <c r="W21" s="21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0</v>
      </c>
      <c r="X21" s="27">
        <v>38605</v>
      </c>
      <c r="Y21" t="s">
        <v>92</v>
      </c>
      <c r="Z21" s="12" t="s">
        <v>57</v>
      </c>
    </row>
    <row r="22" spans="1:26" ht="12.75">
      <c r="A22" s="6">
        <v>72</v>
      </c>
      <c r="B22" s="34" t="s">
        <v>34</v>
      </c>
      <c r="C22" t="s">
        <v>44</v>
      </c>
      <c r="D22" t="s">
        <v>76</v>
      </c>
      <c r="E22" s="21">
        <f t="shared" si="0"/>
        <v>5303</v>
      </c>
      <c r="F22" s="18"/>
      <c r="G22" s="2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>
        <v>18.55</v>
      </c>
      <c r="I22" s="21">
        <f>IF($B22="M",(IF(OR(H22=0,H22*VLOOKUP($A22,Partridge!$A$3:$J$73,3)&lt;1.5),0,INT(51.39*((INT(100*((((INT(100*H22))/100)*VLOOKUP($A22,Partridge!$A$3:$J$73,3))))/100-1.5)^1.05)))),IF($B22="F",(IF(OR(H22=0,H22*2*VLOOKUP($A22,Partridge!$A$3:$J$73,3)&lt;1.5),0,INT(56.0211*((INT(100*((((INT(100*H22))/100)*2*VLOOKUP($A22,Partridge!$A$3:$J$73,3))))/100-1.5)^1.05)))),"M/F?"))</f>
        <v>1194</v>
      </c>
      <c r="J22" s="18"/>
      <c r="K22" s="21">
        <f>IF($B22="M",(IF(OR(J22=0,J22*VLOOKUP($A22,Partridge!$A$3:$J$73,4)&lt;1.5),0,INT(51.39*((INT(100*((((INT(100*J22))/100)*VLOOKUP($A22,Partridge!$A$3:$J$73,4))))/100-1.5)^1.05)))),IF($B22="F",(IF(OR(J22=0,J22*2*VLOOKUP($A22,Partridge!$A$3:$J$73,4)&lt;1.5),0,INT(56.0211*((INT(100*((((INT(100*J22))/100)*2*VLOOKUP($A22,Partridge!$A$3:$J$73,4))))/100-1.5)^1.05)))),"M/F?"))</f>
        <v>0</v>
      </c>
      <c r="L22" s="18"/>
      <c r="M22" s="21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0</v>
      </c>
      <c r="N22" s="18">
        <v>10.22</v>
      </c>
      <c r="O22" s="21">
        <f>IF($B22="M",(IF(OR(N22=0,N22*VLOOKUP($A22,Partridge!$A$3:$J$73,6)&lt;1.5),0,INT(51.39*((INT(100*((((INT(100*N22))/100)*VLOOKUP($A22,Partridge!$A$3:$J$73,6))))/100-1.5)^1.05)))),IF($B22="F",(IF(OR(N22=0,N22*2*VLOOKUP($A22,Partridge!$A$3:$J$73,6)&lt;1.5),0,INT(56.0211*((INT(100*((((INT(100*N22))/100)*2*VLOOKUP($A22,Partridge!$A$3:$J$73,6))))/100-1.5)^1.05)))),"M/F?"))</f>
        <v>1090</v>
      </c>
      <c r="P22" s="18">
        <v>5.94</v>
      </c>
      <c r="Q22" s="21">
        <f>IF($B22="M",(IF(OR(P22=0,P22*VLOOKUP($A22,Partridge!$A$3:$J$73,7)&lt;1.5),0,INT(51.39*((INT(100*((((INT(100*P22))/100)*VLOOKUP($A22,Partridge!$A$3:$J$73,7))))/100-1.5)^1.05)))),IF($B22="F",(IF(OR(P22=0,P22*2*VLOOKUP($A22,Partridge!$A$3:$J$73,7)&lt;1.5),0,INT(56.0211*((INT(100*((((INT(100*P22))/100)*2*VLOOKUP($A22,Partridge!$A$3:$J$73,7))))/100-1.5)^1.05)))),"M/F?"))</f>
        <v>1005</v>
      </c>
      <c r="R22" s="18">
        <v>2.75</v>
      </c>
      <c r="S22" s="21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920</v>
      </c>
      <c r="T22" s="18">
        <v>1.6</v>
      </c>
      <c r="U22" s="21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1094</v>
      </c>
      <c r="V22" s="18"/>
      <c r="W22" s="21">
        <f>IF($B22="M",(IF(OR(V22=0,V22*VLOOKUP($A22,Partridge!$A$3:$J$73,10)&lt;1.5),0,INT(51.39*((INT(100*((((INT(100*V22))/100)*VLOOKUP($A22,Partridge!$A$3:$J$73,10))))/100-1.5)^1.05)))),IF($B22="F",(IF(OR(V22=0,V22*2*VLOOKUP($A22,Partridge!$A$3:$J$73,10)&lt;1.5),0,INT(56.0211*((INT(100*((((INT(100*V22))/100)*2*VLOOKUP($A22,Partridge!$A$3:$J$73,10))))/100-1.5)^1.05)))),"M/F?"))</f>
        <v>0</v>
      </c>
      <c r="X22" s="27">
        <v>38605</v>
      </c>
      <c r="Y22" t="s">
        <v>93</v>
      </c>
      <c r="Z22" s="12" t="s">
        <v>55</v>
      </c>
    </row>
    <row r="23" spans="1:26" ht="12.75">
      <c r="A23" s="6">
        <v>73</v>
      </c>
      <c r="B23" s="34" t="s">
        <v>34</v>
      </c>
      <c r="C23" t="s">
        <v>77</v>
      </c>
      <c r="D23" t="s">
        <v>78</v>
      </c>
      <c r="E23" s="21">
        <f t="shared" si="0"/>
        <v>4203</v>
      </c>
      <c r="F23" s="18"/>
      <c r="G23" s="2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>
        <v>14.04</v>
      </c>
      <c r="I23" s="21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896</v>
      </c>
      <c r="J23" s="18"/>
      <c r="K23" s="21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0</v>
      </c>
      <c r="L23" s="18"/>
      <c r="M23" s="21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0</v>
      </c>
      <c r="N23" s="18">
        <v>7.42</v>
      </c>
      <c r="O23" s="21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779</v>
      </c>
      <c r="P23" s="18">
        <v>4.3</v>
      </c>
      <c r="Q23" s="21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714</v>
      </c>
      <c r="R23" s="18">
        <v>2.64</v>
      </c>
      <c r="S23" s="21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907</v>
      </c>
      <c r="T23" s="18">
        <v>1.32</v>
      </c>
      <c r="U23" s="21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907</v>
      </c>
      <c r="V23" s="18"/>
      <c r="W23" s="21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0</v>
      </c>
      <c r="X23" s="27">
        <v>38605</v>
      </c>
      <c r="Y23" t="s">
        <v>94</v>
      </c>
      <c r="Z23" s="12" t="s">
        <v>95</v>
      </c>
    </row>
    <row r="24" spans="1:26" ht="12.75">
      <c r="A24" s="6">
        <v>73</v>
      </c>
      <c r="B24" s="34" t="s">
        <v>34</v>
      </c>
      <c r="C24" t="s">
        <v>62</v>
      </c>
      <c r="D24" t="s">
        <v>79</v>
      </c>
      <c r="E24" s="21">
        <f t="shared" si="0"/>
        <v>3543</v>
      </c>
      <c r="F24" s="18"/>
      <c r="G24" s="23">
        <f>IF($B24="M",(IF(OR(F24=0,F24*0.9308*VLOOKUP($A24,Partridge!$A$3:$J$73,2)&lt;1.5),0,INT(51.39*((INT(100*((((INT(100*F24))/100)*0.9308*VLOOKUP($A24,Partridge!$A$3:$J$73,2))))/100-1.5)^1.05)))),IF($B24="F",(IF(OR(F24=0,F24*2*0.9308*VLOOKUP($A24,Partridge!$A$3:$J$73,2)&lt;1.5),0,INT(56.0211*((INT(100*((((INT(100*F24))/100)*2*0.9308*VLOOKUP($A24,Partridge!$A$3:$J$73,2))))/100-1.5)^1.05)))),"M/F?"))</f>
        <v>0</v>
      </c>
      <c r="H24" s="18">
        <v>14.09</v>
      </c>
      <c r="I24" s="21">
        <f>IF($B24="M",(IF(OR(H24=0,H24*VLOOKUP($A24,Partridge!$A$3:$J$73,3)&lt;1.5),0,INT(51.39*((INT(100*((((INT(100*H24))/100)*VLOOKUP($A24,Partridge!$A$3:$J$73,3))))/100-1.5)^1.05)))),IF($B24="F",(IF(OR(H24=0,H24*2*VLOOKUP($A24,Partridge!$A$3:$J$73,3)&lt;1.5),0,INT(56.0211*((INT(100*((((INT(100*H24))/100)*2*VLOOKUP($A24,Partridge!$A$3:$J$73,3))))/100-1.5)^1.05)))),"M/F?"))</f>
        <v>900</v>
      </c>
      <c r="J24" s="18"/>
      <c r="K24" s="21">
        <f>IF($B24="M",(IF(OR(J24=0,J24*VLOOKUP($A24,Partridge!$A$3:$J$73,4)&lt;1.5),0,INT(51.39*((INT(100*((((INT(100*J24))/100)*VLOOKUP($A24,Partridge!$A$3:$J$73,4))))/100-1.5)^1.05)))),IF($B24="F",(IF(OR(J24=0,J24*2*VLOOKUP($A24,Partridge!$A$3:$J$73,4)&lt;1.5),0,INT(56.0211*((INT(100*((((INT(100*J24))/100)*2*VLOOKUP($A24,Partridge!$A$3:$J$73,4))))/100-1.5)^1.05)))),"M/F?"))</f>
        <v>0</v>
      </c>
      <c r="L24" s="18"/>
      <c r="M24" s="21">
        <f>IF($B24="M",(IF(OR(L24=0,L24*VLOOKUP($A24,Partridge!$A$3:$J$73,5)&lt;1.5),0,INT(51.39*((INT(100*((((INT(100*L24))/100)*VLOOKUP($A24,Partridge!$A$3:$J$73,5))))/100-1.5)^1.05)))),IF($B24="F",(IF(OR(L24=0,L24*2*VLOOKUP($A24,Partridge!$A$3:$J$73,5)&lt;1.5),0,INT(56.02111*((INT(100*((((INT(100*L24))/100)*2*VLOOKUP($A24,Partridge!$A$3:$J$73,5))))/100-1.5)^1.05)))),"M/F?"))</f>
        <v>0</v>
      </c>
      <c r="N24" s="18">
        <v>6.82</v>
      </c>
      <c r="O24" s="21">
        <f>IF($B24="M",(IF(OR(N24=0,N24*VLOOKUP($A24,Partridge!$A$3:$J$73,6)&lt;1.5),0,INT(51.39*((INT(100*((((INT(100*N24))/100)*VLOOKUP($A24,Partridge!$A$3:$J$73,6))))/100-1.5)^1.05)))),IF($B24="F",(IF(OR(N24=0,N24*2*VLOOKUP($A24,Partridge!$A$3:$J$73,6)&lt;1.5),0,INT(56.0211*((INT(100*((((INT(100*N24))/100)*2*VLOOKUP($A24,Partridge!$A$3:$J$73,6))))/100-1.5)^1.05)))),"M/F?"))</f>
        <v>705</v>
      </c>
      <c r="P24" s="18">
        <v>4.14</v>
      </c>
      <c r="Q24" s="21">
        <f>IF($B24="M",(IF(OR(P24=0,P24*VLOOKUP($A24,Partridge!$A$3:$J$73,7)&lt;1.5),0,INT(51.39*((INT(100*((((INT(100*P24))/100)*VLOOKUP($A24,Partridge!$A$3:$J$73,7))))/100-1.5)^1.05)))),IF($B24="F",(IF(OR(P24=0,P24*2*VLOOKUP($A24,Partridge!$A$3:$J$73,7)&lt;1.5),0,INT(56.0211*((INT(100*((((INT(100*P24))/100)*2*VLOOKUP($A24,Partridge!$A$3:$J$73,7))))/100-1.5)^1.05)))),"M/F?"))</f>
        <v>682</v>
      </c>
      <c r="R24" s="18">
        <v>1.9</v>
      </c>
      <c r="S24" s="21">
        <f>IF($B24="M",(IF(OR(R24=0,R24*VLOOKUP($A24,Partridge!$A$3:$J$73,8)&lt;1.5),0,INT(51.39*((INT(100*((((INT(100*R24))/100)*VLOOKUP($A24,Partridge!$A$3:$J$73,8))))/100-1.5)^1.05)))),IF($B24="F",(IF(OR(R24=0,R24*2*VLOOKUP($A24,Partridge!$A$3:$J$73,8)&lt;1.5),0,INT(56.0211*((INT(100*((((INT(100*R24))/100)*2*VLOOKUP($A24,Partridge!$A$3:$J$73,8))))/100-1.5)^1.05)))),"M/F?"))</f>
        <v>616</v>
      </c>
      <c r="T24" s="18">
        <v>0.98</v>
      </c>
      <c r="U24" s="21">
        <f>IF($B24="M",(IF(OR(T24=0,T24*VLOOKUP($A24,Partridge!$A$3:$J$73,9)&lt;1.5),0,INT(51.39*((INT(100*((((INT(100*T24))/100)*VLOOKUP($A24,Partridge!$A$3:$J$73,9))))/100-1.5)^1.05)))),IF($B24="F",(IF(OR(T24=0,T24*2*VLOOKUP($A24,Partridge!$A$3:$J$73,9)&lt;1.5),0,INT(56.0211*((INT(100*((((INT(100*T24))/100)*2*VLOOKUP($A24,Partridge!$A$3:$J$73,9))))/100-1.5)^1.05)))),"M/F?"))</f>
        <v>640</v>
      </c>
      <c r="V24" s="18"/>
      <c r="W24" s="21">
        <f>IF($B24="M",(IF(OR(V24=0,V24*VLOOKUP($A24,Partridge!$A$3:$J$73,10)&lt;1.5),0,INT(51.39*((INT(100*((((INT(100*V24))/100)*VLOOKUP($A24,Partridge!$A$3:$J$73,10))))/100-1.5)^1.05)))),IF($B24="F",(IF(OR(V24=0,V24*2*VLOOKUP($A24,Partridge!$A$3:$J$73,10)&lt;1.5),0,INT(56.0211*((INT(100*((((INT(100*V24))/100)*2*VLOOKUP($A24,Partridge!$A$3:$J$73,10))))/100-1.5)^1.05)))),"M/F?"))</f>
        <v>0</v>
      </c>
      <c r="X24" s="27">
        <v>38605</v>
      </c>
      <c r="Y24" t="s">
        <v>96</v>
      </c>
      <c r="Z24" s="12" t="s">
        <v>16</v>
      </c>
    </row>
    <row r="25" spans="1:26" ht="12.75">
      <c r="A25" s="6">
        <v>73</v>
      </c>
      <c r="B25" s="34" t="s">
        <v>34</v>
      </c>
      <c r="C25" t="s">
        <v>49</v>
      </c>
      <c r="D25" t="s">
        <v>52</v>
      </c>
      <c r="E25" s="21">
        <f t="shared" si="0"/>
        <v>4342</v>
      </c>
      <c r="F25" s="18"/>
      <c r="G25" s="2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>
        <v>14.48</v>
      </c>
      <c r="I25" s="21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929</v>
      </c>
      <c r="J25" s="18"/>
      <c r="K25" s="21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0</v>
      </c>
      <c r="L25" s="18"/>
      <c r="M25" s="21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0</v>
      </c>
      <c r="N25" s="18">
        <v>7.72</v>
      </c>
      <c r="O25" s="21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816</v>
      </c>
      <c r="P25" s="18">
        <v>4.15</v>
      </c>
      <c r="Q25" s="21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684</v>
      </c>
      <c r="R25" s="18">
        <v>2.61</v>
      </c>
      <c r="S25" s="21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895</v>
      </c>
      <c r="T25" s="18">
        <v>1.46</v>
      </c>
      <c r="U25" s="21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1018</v>
      </c>
      <c r="V25" s="18"/>
      <c r="W25" s="21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0</v>
      </c>
      <c r="X25" s="27">
        <v>38605</v>
      </c>
      <c r="Y25" t="s">
        <v>97</v>
      </c>
      <c r="Z25" s="12" t="s">
        <v>98</v>
      </c>
    </row>
    <row r="26" spans="1:26" ht="12.75">
      <c r="A26" s="6">
        <v>75</v>
      </c>
      <c r="B26" s="34" t="s">
        <v>34</v>
      </c>
      <c r="C26" t="s">
        <v>66</v>
      </c>
      <c r="D26" t="s">
        <v>80</v>
      </c>
      <c r="E26" s="21">
        <f t="shared" si="0"/>
        <v>1207</v>
      </c>
      <c r="F26" s="18"/>
      <c r="G26" s="23">
        <f>IF($B26="M",(IF(OR(F26=0,F26*0.9308*VLOOKUP($A26,Partridge!$A$3:$J$73,2)&lt;1.5),0,INT(51.39*((INT(100*((((INT(100*F26))/100)*0.9308*VLOOKUP($A26,Partridge!$A$3:$J$73,2))))/100-1.5)^1.05)))),IF($B26="F",(IF(OR(F26=0,F26*2*0.9308*VLOOKUP($A26,Partridge!$A$3:$J$73,2)&lt;1.5),0,INT(56.0211*((INT(100*((((INT(100*F26))/100)*2*0.9308*VLOOKUP($A26,Partridge!$A$3:$J$73,2))))/100-1.5)^1.05)))),"M/F?"))</f>
        <v>0</v>
      </c>
      <c r="H26" s="18">
        <v>10.12</v>
      </c>
      <c r="I26" s="21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653</v>
      </c>
      <c r="J26" s="18"/>
      <c r="K26" s="21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0</v>
      </c>
      <c r="L26" s="18"/>
      <c r="M26" s="21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0</v>
      </c>
      <c r="N26" s="18">
        <v>5.27</v>
      </c>
      <c r="O26" s="21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554</v>
      </c>
      <c r="P26" s="18"/>
      <c r="Q26" s="21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0</v>
      </c>
      <c r="R26" s="18"/>
      <c r="S26" s="21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0</v>
      </c>
      <c r="T26" s="18"/>
      <c r="U26" s="21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0</v>
      </c>
      <c r="V26" s="18"/>
      <c r="W26" s="21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0</v>
      </c>
      <c r="X26" s="27">
        <v>38605</v>
      </c>
      <c r="Y26" t="s">
        <v>99</v>
      </c>
      <c r="Z26" s="12" t="s">
        <v>58</v>
      </c>
    </row>
    <row r="27" spans="1:26" ht="12.75">
      <c r="A27" s="6">
        <v>75</v>
      </c>
      <c r="B27" s="34" t="s">
        <v>34</v>
      </c>
      <c r="C27" t="s">
        <v>46</v>
      </c>
      <c r="D27" t="s">
        <v>50</v>
      </c>
      <c r="E27" s="21">
        <f t="shared" si="0"/>
        <v>1365</v>
      </c>
      <c r="F27" s="18"/>
      <c r="G27" s="23">
        <f>IF($B27="M",(IF(OR(F27=0,F27*0.9308*VLOOKUP($A27,Partridge!$A$3:$J$73,2)&lt;1.5),0,INT(51.39*((INT(100*((((INT(100*F27))/100)*0.9308*VLOOKUP($A27,Partridge!$A$3:$J$73,2))))/100-1.5)^1.05)))),IF($B27="F",(IF(OR(F27=0,F27*2*0.9308*VLOOKUP($A27,Partridge!$A$3:$J$73,2)&lt;1.5),0,INT(56.0211*((INT(100*((((INT(100*F27))/100)*2*0.9308*VLOOKUP($A27,Partridge!$A$3:$J$73,2))))/100-1.5)^1.05)))),"M/F?"))</f>
        <v>0</v>
      </c>
      <c r="H27" s="18">
        <v>10.44</v>
      </c>
      <c r="I27" s="21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677</v>
      </c>
      <c r="J27" s="18"/>
      <c r="K27" s="21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/>
      <c r="M27" s="21">
        <f>IF($B27="M",(IF(OR(L27=0,L27*VLOOKUP($A27,Partridge!$A$3:$J$73,5)&lt;1.5),0,INT(51.39*((INT(100*((((INT(100*L27))/100)*VLOOKUP($A27,Partridge!$A$3:$J$73,5))))/100-1.5)^1.05)))),IF($B27="F",(IF(OR(L27=0,L27*2*VLOOKUP($A27,Partridge!$A$3:$J$73,5)&lt;1.5),0,INT(56.02111*((INT(100*((((INT(100*L27))/100)*2*VLOOKUP($A27,Partridge!$A$3:$J$73,5))))/100-1.5)^1.05)))),"M/F?"))</f>
        <v>0</v>
      </c>
      <c r="N27" s="18">
        <v>6.31</v>
      </c>
      <c r="O27" s="21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688</v>
      </c>
      <c r="P27" s="18"/>
      <c r="Q27" s="21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0</v>
      </c>
      <c r="R27" s="18"/>
      <c r="S27" s="21">
        <f>IF($B27="M",(IF(OR(R27=0,R27*VLOOKUP($A27,Partridge!$A$3:$J$73,8)&lt;1.5),0,INT(51.39*((INT(100*((((INT(100*R27))/100)*VLOOKUP($A27,Partridge!$A$3:$J$73,8))))/100-1.5)^1.05)))),IF($B27="F",(IF(OR(R27=0,R27*2*VLOOKUP($A27,Partridge!$A$3:$J$73,8)&lt;1.5),0,INT(56.0211*((INT(100*((((INT(100*R27))/100)*2*VLOOKUP($A27,Partridge!$A$3:$J$73,8))))/100-1.5)^1.05)))),"M/F?"))</f>
        <v>0</v>
      </c>
      <c r="T27" s="18"/>
      <c r="U27" s="21">
        <f>IF($B27="M",(IF(OR(T27=0,T27*VLOOKUP($A27,Partridge!$A$3:$J$73,9)&lt;1.5),0,INT(51.39*((INT(100*((((INT(100*T27))/100)*VLOOKUP($A27,Partridge!$A$3:$J$73,9))))/100-1.5)^1.05)))),IF($B27="F",(IF(OR(T27=0,T27*2*VLOOKUP($A27,Partridge!$A$3:$J$73,9)&lt;1.5),0,INT(56.0211*((INT(100*((((INT(100*T27))/100)*2*VLOOKUP($A27,Partridge!$A$3:$J$73,9))))/100-1.5)^1.05)))),"M/F?"))</f>
        <v>0</v>
      </c>
      <c r="V27" s="18"/>
      <c r="W27" s="21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0</v>
      </c>
      <c r="X27" s="27">
        <v>38605</v>
      </c>
      <c r="Y27" t="s">
        <v>100</v>
      </c>
      <c r="Z27" s="12" t="s">
        <v>59</v>
      </c>
    </row>
    <row r="28" spans="1:26" ht="12.75">
      <c r="A28" s="6">
        <v>76</v>
      </c>
      <c r="B28" s="34" t="s">
        <v>34</v>
      </c>
      <c r="C28" t="s">
        <v>81</v>
      </c>
      <c r="D28" t="s">
        <v>82</v>
      </c>
      <c r="E28" s="21">
        <f>SUM(G28+I28+K28+M28+O28+Q28+S28+U28+W28)</f>
        <v>4692</v>
      </c>
      <c r="F28" s="18"/>
      <c r="G28" s="23">
        <f>IF($B28="M",(IF(OR(F28=0,F28*0.9308*VLOOKUP($A28,Partridge!$A$3:$J$73,2)&lt;1.5),0,INT(51.39*((INT(100*((((INT(100*F28))/100)*0.9308*VLOOKUP($A28,Partridge!$A$3:$J$73,2))))/100-1.5)^1.05)))),IF($B28="F",(IF(OR(F28=0,F28*2*0.9308*VLOOKUP($A28,Partridge!$A$3:$J$73,2)&lt;1.5),0,INT(56.0211*((INT(100*((((INT(100*F28))/100)*2*0.9308*VLOOKUP($A28,Partridge!$A$3:$J$73,2))))/100-1.5)^1.05)))),"M/F?"))</f>
        <v>0</v>
      </c>
      <c r="H28" s="18">
        <v>14.41</v>
      </c>
      <c r="I28" s="21">
        <f>IF($B28="M",(IF(OR(H28=0,H28*VLOOKUP($A28,Partridge!$A$3:$J$73,3)&lt;1.5),0,INT(51.39*((INT(100*((((INT(100*H28))/100)*VLOOKUP($A28,Partridge!$A$3:$J$73,3))))/100-1.5)^1.05)))),IF($B28="F",(IF(OR(H28=0,H28*2*VLOOKUP($A28,Partridge!$A$3:$J$73,3)&lt;1.5),0,INT(56.0211*((INT(100*((((INT(100*H28))/100)*2*VLOOKUP($A28,Partridge!$A$3:$J$73,3))))/100-1.5)^1.05)))),"M/F?"))</f>
        <v>1019</v>
      </c>
      <c r="J28" s="18"/>
      <c r="K28" s="21">
        <f>IF($B28="M",(IF(OR(J28=0,J28*VLOOKUP($A28,Partridge!$A$3:$J$73,4)&lt;1.5),0,INT(51.39*((INT(100*((((INT(100*J28))/100)*VLOOKUP($A28,Partridge!$A$3:$J$73,4))))/100-1.5)^1.05)))),IF($B28="F",(IF(OR(J28=0,J28*2*VLOOKUP($A28,Partridge!$A$3:$J$73,4)&lt;1.5),0,INT(56.0211*((INT(100*((((INT(100*J28))/100)*2*VLOOKUP($A28,Partridge!$A$3:$J$73,4))))/100-1.5)^1.05)))),"M/F?"))</f>
        <v>0</v>
      </c>
      <c r="L28" s="18"/>
      <c r="M28" s="21">
        <f>IF($B28="M",(IF(OR(L28=0,L28*VLOOKUP($A28,Partridge!$A$3:$J$73,5)&lt;1.5),0,INT(51.39*((INT(100*((((INT(100*L28))/100)*VLOOKUP($A28,Partridge!$A$3:$J$73,5))))/100-1.5)^1.05)))),IF($B28="F",(IF(OR(L28=0,L28*2*VLOOKUP($A28,Partridge!$A$3:$J$73,5)&lt;1.5),0,INT(56.02111*((INT(100*((((INT(100*L28))/100)*2*VLOOKUP($A28,Partridge!$A$3:$J$73,5))))/100-1.5)^1.05)))),"M/F?"))</f>
        <v>0</v>
      </c>
      <c r="N28" s="18">
        <v>8.5</v>
      </c>
      <c r="O28" s="21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1007</v>
      </c>
      <c r="P28" s="18">
        <v>4.81</v>
      </c>
      <c r="Q28" s="21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903</v>
      </c>
      <c r="R28" s="18">
        <v>2.49</v>
      </c>
      <c r="S28" s="21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940</v>
      </c>
      <c r="T28" s="18">
        <v>1.11</v>
      </c>
      <c r="U28" s="21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823</v>
      </c>
      <c r="V28" s="18"/>
      <c r="W28" s="21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0</v>
      </c>
      <c r="X28" s="27">
        <v>38605</v>
      </c>
      <c r="Y28" t="s">
        <v>100</v>
      </c>
      <c r="Z28" s="12" t="s">
        <v>59</v>
      </c>
    </row>
    <row r="29" spans="1:26" ht="12.75">
      <c r="A29" s="6">
        <v>93</v>
      </c>
      <c r="B29" s="34" t="s">
        <v>34</v>
      </c>
      <c r="C29" t="s">
        <v>53</v>
      </c>
      <c r="D29" t="s">
        <v>54</v>
      </c>
      <c r="E29" s="21">
        <f>SUM(G29+I29+K29+M29+O29+Q29+S29+U29+W29)</f>
        <v>839</v>
      </c>
      <c r="F29" s="18">
        <v>5.57</v>
      </c>
      <c r="G29" s="2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305</v>
      </c>
      <c r="H29" s="18"/>
      <c r="I29" s="21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0</v>
      </c>
      <c r="J29" s="18"/>
      <c r="K29" s="21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0</v>
      </c>
      <c r="L29" s="18">
        <v>3.48</v>
      </c>
      <c r="M29" s="21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534</v>
      </c>
      <c r="N29" s="18"/>
      <c r="O29" s="21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0</v>
      </c>
      <c r="P29" s="18"/>
      <c r="Q29" s="21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0</v>
      </c>
      <c r="R29" s="18"/>
      <c r="S29" s="21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0</v>
      </c>
      <c r="T29" s="18"/>
      <c r="U29" s="21">
        <f>IF($B29="M",(IF(OR(T29=0,T29*VLOOKUP($A29,Partridge!$A$3:$J$73,9)&lt;1.5),0,INT(51.39*((INT(100*((((INT(100*T29))/100)*VLOOKUP($A29,Partridge!$A$3:$J$73,9))))/100-1.5)^1.05)))),IF($B29="F",(IF(OR(T29=0,T29*2*VLOOKUP($A29,Partridge!$A$3:$J$73,9)&lt;1.5),0,INT(56.0211*((INT(100*((((INT(100*T29))/100)*2*VLOOKUP($A29,Partridge!$A$3:$J$73,9))))/100-1.5)^1.05)))),"M/F?"))</f>
        <v>0</v>
      </c>
      <c r="V29" s="18"/>
      <c r="W29" s="21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0</v>
      </c>
      <c r="X29" s="27">
        <v>38605</v>
      </c>
      <c r="Y29" t="s">
        <v>101</v>
      </c>
      <c r="Z29" s="12" t="s">
        <v>55</v>
      </c>
    </row>
    <row r="30" spans="1:25" ht="12.75">
      <c r="A30" s="26"/>
      <c r="B30" s="35"/>
      <c r="C30" s="28"/>
      <c r="D30" s="28"/>
      <c r="E30" s="24"/>
      <c r="F30" s="25"/>
      <c r="G30" s="26"/>
      <c r="H30" s="25"/>
      <c r="I30" s="24"/>
      <c r="J30" s="25"/>
      <c r="K30" s="24"/>
      <c r="L30" s="25"/>
      <c r="M30" s="24"/>
      <c r="N30" s="25"/>
      <c r="O30" s="24"/>
      <c r="P30" s="25"/>
      <c r="Q30" s="24"/>
      <c r="R30" s="25"/>
      <c r="S30" s="24"/>
      <c r="T30" s="25"/>
      <c r="U30" s="24"/>
      <c r="V30" s="25"/>
      <c r="W30" s="24"/>
      <c r="X30" s="29"/>
      <c r="Y30" s="28"/>
    </row>
    <row r="35" spans="4:24" ht="12.75">
      <c r="D35" s="28"/>
      <c r="E35" s="20" t="s">
        <v>32</v>
      </c>
      <c r="F35" s="25"/>
      <c r="G35" s="26"/>
      <c r="H35" s="25"/>
      <c r="I35" s="24"/>
      <c r="J35" s="25"/>
      <c r="K35" s="24"/>
      <c r="L35" s="25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27"/>
    </row>
    <row r="36" spans="1:26" ht="12.75">
      <c r="A36" s="30" t="s">
        <v>0</v>
      </c>
      <c r="B36" s="31" t="s">
        <v>31</v>
      </c>
      <c r="C36" s="32" t="s">
        <v>29</v>
      </c>
      <c r="D36" s="32" t="s">
        <v>30</v>
      </c>
      <c r="E36" s="20" t="s">
        <v>33</v>
      </c>
      <c r="F36" s="19" t="s">
        <v>20</v>
      </c>
      <c r="G36" s="22" t="s">
        <v>17</v>
      </c>
      <c r="H36" s="19" t="s">
        <v>21</v>
      </c>
      <c r="I36" s="20" t="s">
        <v>17</v>
      </c>
      <c r="J36" s="19" t="s">
        <v>22</v>
      </c>
      <c r="K36" s="20" t="s">
        <v>17</v>
      </c>
      <c r="L36" s="19" t="s">
        <v>23</v>
      </c>
      <c r="M36" s="20" t="s">
        <v>17</v>
      </c>
      <c r="N36" s="19" t="s">
        <v>24</v>
      </c>
      <c r="O36" s="20" t="s">
        <v>17</v>
      </c>
      <c r="P36" s="19" t="s">
        <v>25</v>
      </c>
      <c r="Q36" s="20" t="s">
        <v>17</v>
      </c>
      <c r="R36" s="19" t="s">
        <v>26</v>
      </c>
      <c r="S36" s="20" t="s">
        <v>17</v>
      </c>
      <c r="T36" s="19" t="s">
        <v>27</v>
      </c>
      <c r="U36" s="20" t="s">
        <v>17</v>
      </c>
      <c r="V36" s="19" t="s">
        <v>28</v>
      </c>
      <c r="W36" s="20" t="s">
        <v>17</v>
      </c>
      <c r="X36" s="32" t="s">
        <v>38</v>
      </c>
      <c r="Y36" s="32" t="s">
        <v>18</v>
      </c>
      <c r="Z36" s="32" t="s">
        <v>19</v>
      </c>
    </row>
    <row r="37" spans="1:26" ht="12.75">
      <c r="A37" s="6">
        <v>55</v>
      </c>
      <c r="B37" s="34" t="s">
        <v>51</v>
      </c>
      <c r="C37" t="s">
        <v>102</v>
      </c>
      <c r="D37" t="s">
        <v>70</v>
      </c>
      <c r="E37" s="21">
        <f>SUM(G37+I37+K37+M37+O37+Q37+S37+U37+W37)</f>
        <v>4278</v>
      </c>
      <c r="F37" s="18"/>
      <c r="G37" s="23">
        <f>IF($B37="M",(IF(OR(F37=0,F37*0.9308*VLOOKUP($A37,Partridge!$A$3:$J$73,2)&lt;1.5),0,INT(51.39*((INT(100*((((INT(100*F37))/100)*0.9308*VLOOKUP($A37,Partridge!$A$3:$J$73,2))))/100-1.5)^1.05)))),IF($B37="F",(IF(OR(F37=0,F37*2*0.9308*VLOOKUP($A37,Partridge!$A$3:$J$73,2)&lt;1.5),0,INT(56.0211*((INT(100*((((INT(100*F37))/100)*2*0.9308*VLOOKUP($A37,Partridge!$A$3:$J$73,2))))/100-1.5)^1.05)))),"M/F?"))</f>
        <v>0</v>
      </c>
      <c r="H37" s="18">
        <v>10.98</v>
      </c>
      <c r="I37" s="21">
        <f>IF($B37="M",(IF(OR(H37=0,H37*VLOOKUP($A37,Partridge!$A$3:$J$73,3)&lt;1.5),0,INT(51.39*((INT(100*((((INT(100*H37))/100)*VLOOKUP($A37,Partridge!$A$3:$J$73,3))))/100-1.5)^1.05)))),IF($B37="F",(IF(OR(H37=0,H37*2*VLOOKUP($A37,Partridge!$A$3:$J$73,3)&lt;1.5),0,INT(56.0211*((INT(100*((((INT(100*H37))/100)*2*VLOOKUP($A37,Partridge!$A$3:$J$73,3))))/100-1.5)^1.05)))),"M/F?"))</f>
        <v>974</v>
      </c>
      <c r="J37" s="18"/>
      <c r="K37" s="21">
        <f>IF($B37="M",(IF(OR(J37=0,J37*VLOOKUP($A37,Partridge!$A$3:$J$73,4)&lt;1.5),0,INT(51.39*((INT(100*((((INT(100*J37))/100)*VLOOKUP($A37,Partridge!$A$3:$J$73,4))))/100-1.5)^1.05)))),IF($B37="F",(IF(OR(J37=0,J37*2*VLOOKUP($A37,Partridge!$A$3:$J$73,4)&lt;1.5),0,INT(56.0211*((INT(100*((((INT(100*J37))/100)*2*VLOOKUP($A37,Partridge!$A$3:$J$73,4))))/100-1.5)^1.05)))),"M/F?"))</f>
        <v>0</v>
      </c>
      <c r="L37" s="18">
        <v>8.13</v>
      </c>
      <c r="M37" s="21">
        <f>IF($B37="M",(IF(OR(L37=0,L37*VLOOKUP($A37,Partridge!$A$3:$J$73,5)&lt;1.5),0,INT(51.39*((INT(100*((((INT(100*L37))/100)*VLOOKUP($A37,Partridge!$A$3:$J$73,5))))/100-1.5)^1.05)))),IF($B37="F",(IF(OR(L37=0,L37*2*VLOOKUP($A37,Partridge!$A$3:$J$73,5)&lt;1.5),0,INT(56.02111*((INT(100*((((INT(100*L37))/100)*2*VLOOKUP($A37,Partridge!$A$3:$J$73,5))))/100-1.5)^1.05)))),"M/F?"))</f>
        <v>1026</v>
      </c>
      <c r="N37" s="18">
        <v>5.47</v>
      </c>
      <c r="O37" s="21">
        <f>IF($B37="M",(IF(OR(N37=0,N37*VLOOKUP($A37,Partridge!$A$3:$J$73,6)&lt;1.5),0,INT(51.39*((INT(100*((((INT(100*N37))/100)*VLOOKUP($A37,Partridge!$A$3:$J$73,6))))/100-1.5)^1.05)))),IF($B37="F",(IF(OR(N37=0,N37*2*VLOOKUP($A37,Partridge!$A$3:$J$73,6)&lt;1.5),0,INT(56.0211*((INT(100*((((INT(100*N37))/100)*2*VLOOKUP($A37,Partridge!$A$3:$J$73,6))))/100-1.5)^1.05)))),"M/F?"))</f>
        <v>805</v>
      </c>
      <c r="P37" s="18">
        <v>2.79</v>
      </c>
      <c r="Q37" s="21">
        <f>IF($B37="M",(IF(OR(P37=0,P37*VLOOKUP($A37,Partridge!$A$3:$J$73,7)&lt;1.5),0,INT(51.39*((INT(100*((((INT(100*P37))/100)*VLOOKUP($A37,Partridge!$A$3:$J$73,7))))/100-1.5)^1.05)))),IF($B37="F",(IF(OR(P37=0,P37*2*VLOOKUP($A37,Partridge!$A$3:$J$73,7)&lt;1.5),0,INT(56.0211*((INT(100*((((INT(100*P37))/100)*2*VLOOKUP($A37,Partridge!$A$3:$J$73,7))))/100-1.5)^1.05)))),"M/F?"))</f>
        <v>623</v>
      </c>
      <c r="R37" s="18">
        <v>1.81</v>
      </c>
      <c r="S37" s="21">
        <f>IF($B37="M",(IF(OR(R37=0,R37*VLOOKUP($A37,Partridge!$A$3:$J$73,8)&lt;1.5),0,INT(51.39*((INT(100*((((INT(100*R37))/100)*VLOOKUP($A37,Partridge!$A$3:$J$73,8))))/100-1.5)^1.05)))),IF($B37="F",(IF(OR(R37=0,R37*2*VLOOKUP($A37,Partridge!$A$3:$J$73,8)&lt;1.5),0,INT(56.0211*((INT(100*((((INT(100*R37))/100)*2*VLOOKUP($A37,Partridge!$A$3:$J$73,8))))/100-1.5)^1.05)))),"M/F?"))</f>
        <v>850</v>
      </c>
      <c r="T37" s="18"/>
      <c r="U37" s="21">
        <f>IF($B37="M",(IF(OR(T37=0,T37*VLOOKUP($A37,Partridge!$A$3:$J$73,9)&lt;1.5),0,INT(51.39*((INT(100*((((INT(100*T37))/100)*VLOOKUP($A37,Partridge!$A$3:$J$73,9))))/100-1.5)^1.05)))),IF($B37="F",(IF(OR(T37=0,T37*2*VLOOKUP($A37,Partridge!$A$3:$J$73,9)&lt;1.5),0,INT(56.0211*((INT(100*((((INT(100*T37))/100)*2*VLOOKUP($A37,Partridge!$A$3:$J$73,9))))/100-1.5)^1.05)))),"M/F?"))</f>
        <v>0</v>
      </c>
      <c r="V37" s="18"/>
      <c r="W37" s="21">
        <f>IF($B37="M",(IF(OR(V37=0,V37*VLOOKUP($A37,Partridge!$A$3:$J$73,10)&lt;1.5),0,INT(51.39*((INT(100*((((INT(100*V37))/100)*VLOOKUP($A37,Partridge!$A$3:$J$73,10))))/100-1.5)^1.05)))),IF($B37="F",(IF(OR(V37=0,V37*2*VLOOKUP($A37,Partridge!$A$3:$J$73,10)&lt;1.5),0,INT(56.0211*((INT(100*((((INT(100*V37))/100)*2*VLOOKUP($A37,Partridge!$A$3:$J$73,10))))/100-1.5)^1.05)))),"M/F?"))</f>
        <v>0</v>
      </c>
      <c r="X37" s="27">
        <v>38605</v>
      </c>
      <c r="Y37" t="s">
        <v>91</v>
      </c>
      <c r="Z37" s="12" t="s">
        <v>59</v>
      </c>
    </row>
    <row r="38" spans="1:26" ht="12.75">
      <c r="A38" s="6">
        <v>62</v>
      </c>
      <c r="B38" s="34" t="s">
        <v>51</v>
      </c>
      <c r="C38" t="s">
        <v>103</v>
      </c>
      <c r="D38" t="s">
        <v>104</v>
      </c>
      <c r="E38" s="21">
        <f>SUM(G38+I38+K38+M38+O38+Q38+S38+U38+W38)</f>
        <v>3623</v>
      </c>
      <c r="F38" s="18">
        <v>12.21</v>
      </c>
      <c r="G38" s="23">
        <f>IF($B38="M",(IF(OR(F38=0,F38*0.9308*VLOOKUP($A38,Partridge!$A$3:$J$73,2)&lt;1.5),0,INT(51.39*((INT(100*((((INT(100*F38))/100)*0.9308*VLOOKUP($A38,Partridge!$A$3:$J$73,2))))/100-1.5)^1.05)))),IF($B38="F",(IF(OR(F38=0,F38*2*0.9308*VLOOKUP($A38,Partridge!$A$3:$J$73,2)&lt;1.5),0,INT(56.0211*((INT(100*((((INT(100*F38))/100)*2*0.9308*VLOOKUP($A38,Partridge!$A$3:$J$73,2))))/100-1.5)^1.05)))),"M/F?"))</f>
        <v>638</v>
      </c>
      <c r="H38" s="18"/>
      <c r="I38" s="21">
        <f>IF($B38="M",(IF(OR(H38=0,H38*VLOOKUP($A38,Partridge!$A$3:$J$73,3)&lt;1.5),0,INT(51.39*((INT(100*((((INT(100*H38))/100)*VLOOKUP($A38,Partridge!$A$3:$J$73,3))))/100-1.5)^1.05)))),IF($B38="F",(IF(OR(H38=0,H38*2*VLOOKUP($A38,Partridge!$A$3:$J$73,3)&lt;1.5),0,INT(56.0211*((INT(100*((((INT(100*H38))/100)*2*VLOOKUP($A38,Partridge!$A$3:$J$73,3))))/100-1.5)^1.05)))),"M/F?"))</f>
        <v>0</v>
      </c>
      <c r="J38" s="18"/>
      <c r="K38" s="21">
        <f>IF($B38="M",(IF(OR(J38=0,J38*VLOOKUP($A38,Partridge!$A$3:$J$73,4)&lt;1.5),0,INT(51.39*((INT(100*((((INT(100*J38))/100)*VLOOKUP($A38,Partridge!$A$3:$J$73,4))))/100-1.5)^1.05)))),IF($B38="F",(IF(OR(J38=0,J38*2*VLOOKUP($A38,Partridge!$A$3:$J$73,4)&lt;1.5),0,INT(56.0211*((INT(100*((((INT(100*J38))/100)*2*VLOOKUP($A38,Partridge!$A$3:$J$73,4))))/100-1.5)^1.05)))),"M/F?"))</f>
        <v>0</v>
      </c>
      <c r="L38" s="18">
        <v>6.41</v>
      </c>
      <c r="M38" s="21">
        <f>IF($B38="M",(IF(OR(L38=0,L38*VLOOKUP($A38,Partridge!$A$3:$J$73,5)&lt;1.5),0,INT(51.39*((INT(100*((((INT(100*L38))/100)*VLOOKUP($A38,Partridge!$A$3:$J$73,5))))/100-1.5)^1.05)))),IF($B38="F",(IF(OR(L38=0,L38*2*VLOOKUP($A38,Partridge!$A$3:$J$73,5)&lt;1.5),0,INT(56.02111*((INT(100*((((INT(100*L38))/100)*2*VLOOKUP($A38,Partridge!$A$3:$J$73,5))))/100-1.5)^1.05)))),"M/F?"))</f>
        <v>923</v>
      </c>
      <c r="N38" s="18">
        <v>4.42</v>
      </c>
      <c r="O38" s="21">
        <f>IF($B38="M",(IF(OR(N38=0,N38*VLOOKUP($A38,Partridge!$A$3:$J$73,6)&lt;1.5),0,INT(51.39*((INT(100*((((INT(100*N38))/100)*VLOOKUP($A38,Partridge!$A$3:$J$73,6))))/100-1.5)^1.05)))),IF($B38="F",(IF(OR(N38=0,N38*2*VLOOKUP($A38,Partridge!$A$3:$J$73,6)&lt;1.5),0,INT(56.0211*((INT(100*((((INT(100*N38))/100)*2*VLOOKUP($A38,Partridge!$A$3:$J$73,6))))/100-1.5)^1.05)))),"M/F?"))</f>
        <v>749</v>
      </c>
      <c r="P38" s="18">
        <v>2.44</v>
      </c>
      <c r="Q38" s="21">
        <f>IF($B38="M",(IF(OR(P38=0,P38*VLOOKUP($A38,Partridge!$A$3:$J$73,7)&lt;1.5),0,INT(51.39*((INT(100*((((INT(100*P38))/100)*VLOOKUP($A38,Partridge!$A$3:$J$73,7))))/100-1.5)^1.05)))),IF($B38="F",(IF(OR(P38=0,P38*2*VLOOKUP($A38,Partridge!$A$3:$J$73,7)&lt;1.5),0,INT(56.0211*((INT(100*((((INT(100*P38))/100)*2*VLOOKUP($A38,Partridge!$A$3:$J$73,7))))/100-1.5)^1.05)))),"M/F?"))</f>
        <v>641</v>
      </c>
      <c r="R38" s="18">
        <v>1.27</v>
      </c>
      <c r="S38" s="21">
        <f>IF($B38="M",(IF(OR(R38=0,R38*VLOOKUP($A38,Partridge!$A$3:$J$73,8)&lt;1.5),0,INT(51.39*((INT(100*((((INT(100*R38))/100)*VLOOKUP($A38,Partridge!$A$3:$J$73,8))))/100-1.5)^1.05)))),IF($B38="F",(IF(OR(R38=0,R38*2*VLOOKUP($A38,Partridge!$A$3:$J$73,8)&lt;1.5),0,INT(56.0211*((INT(100*((((INT(100*R38))/100)*2*VLOOKUP($A38,Partridge!$A$3:$J$73,8))))/100-1.5)^1.05)))),"M/F?"))</f>
        <v>672</v>
      </c>
      <c r="T38" s="18"/>
      <c r="U38" s="21">
        <f>IF($B38="M",(IF(OR(T38=0,T38*VLOOKUP($A38,Partridge!$A$3:$J$73,9)&lt;1.5),0,INT(51.39*((INT(100*((((INT(100*T38))/100)*VLOOKUP($A38,Partridge!$A$3:$J$73,9))))/100-1.5)^1.05)))),IF($B38="F",(IF(OR(T38=0,T38*2*VLOOKUP($A38,Partridge!$A$3:$J$73,9)&lt;1.5),0,INT(56.0211*((INT(100*((((INT(100*T38))/100)*2*VLOOKUP($A38,Partridge!$A$3:$J$73,9))))/100-1.5)^1.05)))),"M/F?"))</f>
        <v>0</v>
      </c>
      <c r="V38" s="18"/>
      <c r="W38" s="21">
        <f>IF($B38="M",(IF(OR(V38=0,V38*VLOOKUP($A38,Partridge!$A$3:$J$73,10)&lt;1.5),0,INT(51.39*((INT(100*((((INT(100*V38))/100)*VLOOKUP($A38,Partridge!$A$3:$J$73,10))))/100-1.5)^1.05)))),IF($B38="F",(IF(OR(V38=0,V38*2*VLOOKUP($A38,Partridge!$A$3:$J$73,10)&lt;1.5),0,INT(56.0211*((INT(100*((((INT(100*V38))/100)*2*VLOOKUP($A38,Partridge!$A$3:$J$73,10))))/100-1.5)^1.05)))),"M/F?"))</f>
        <v>0</v>
      </c>
      <c r="X38" s="27">
        <v>38605</v>
      </c>
      <c r="Y38" t="s">
        <v>100</v>
      </c>
      <c r="Z38" s="12" t="s">
        <v>59</v>
      </c>
    </row>
    <row r="39" spans="1:26" ht="12.75">
      <c r="A39" s="6">
        <v>65</v>
      </c>
      <c r="B39" s="34" t="s">
        <v>51</v>
      </c>
      <c r="C39" t="s">
        <v>105</v>
      </c>
      <c r="D39" t="s">
        <v>106</v>
      </c>
      <c r="E39" s="21">
        <f>SUM(G39+I39+K39+M39+O39+Q39+S39+U39+W39)</f>
        <v>3825</v>
      </c>
      <c r="F39" s="18">
        <v>13.04</v>
      </c>
      <c r="G39" s="23">
        <f>IF($B39="M",(IF(OR(F39=0,F39*0.9308*VLOOKUP($A39,Partridge!$A$3:$J$73,2)&lt;1.5),0,INT(51.39*((INT(100*((((INT(100*F39))/100)*0.9308*VLOOKUP($A39,Partridge!$A$3:$J$73,2))))/100-1.5)^1.05)))),IF($B39="F",(IF(OR(F39=0,F39*2*0.9308*VLOOKUP($A39,Partridge!$A$3:$J$73,2)&lt;1.5),0,INT(56.0211*((INT(100*((((INT(100*F39))/100)*2*0.9308*VLOOKUP($A39,Partridge!$A$3:$J$73,2))))/100-1.5)^1.05)))),"M/F?"))</f>
        <v>754</v>
      </c>
      <c r="H39" s="18"/>
      <c r="I39" s="21">
        <f>IF($B39="M",(IF(OR(H39=0,H39*VLOOKUP($A39,Partridge!$A$3:$J$73,3)&lt;1.5),0,INT(51.39*((INT(100*((((INT(100*H39))/100)*VLOOKUP($A39,Partridge!$A$3:$J$73,3))))/100-1.5)^1.05)))),IF($B39="F",(IF(OR(H39=0,H39*2*VLOOKUP($A39,Partridge!$A$3:$J$73,3)&lt;1.5),0,INT(56.0211*((INT(100*((((INT(100*H39))/100)*2*VLOOKUP($A39,Partridge!$A$3:$J$73,3))))/100-1.5)^1.05)))),"M/F?"))</f>
        <v>0</v>
      </c>
      <c r="J39" s="18"/>
      <c r="K39" s="21">
        <f>IF($B39="M",(IF(OR(J39=0,J39*VLOOKUP($A39,Partridge!$A$3:$J$73,4)&lt;1.5),0,INT(51.39*((INT(100*((((INT(100*J39))/100)*VLOOKUP($A39,Partridge!$A$3:$J$73,4))))/100-1.5)^1.05)))),IF($B39="F",(IF(OR(J39=0,J39*2*VLOOKUP($A39,Partridge!$A$3:$J$73,4)&lt;1.5),0,INT(56.0211*((INT(100*((((INT(100*J39))/100)*2*VLOOKUP($A39,Partridge!$A$3:$J$73,4))))/100-1.5)^1.05)))),"M/F?"))</f>
        <v>0</v>
      </c>
      <c r="L39" s="18">
        <v>7.75</v>
      </c>
      <c r="M39" s="21">
        <f>IF($B39="M",(IF(OR(L39=0,L39*VLOOKUP($A39,Partridge!$A$3:$J$73,5)&lt;1.5),0,INT(51.39*((INT(100*((((INT(100*L39))/100)*VLOOKUP($A39,Partridge!$A$3:$J$73,5))))/100-1.5)^1.05)))),IF($B39="F",(IF(OR(L39=0,L39*2*VLOOKUP($A39,Partridge!$A$3:$J$73,5)&lt;1.5),0,INT(56.02111*((INT(100*((((INT(100*L39))/100)*2*VLOOKUP($A39,Partridge!$A$3:$J$73,5))))/100-1.5)^1.05)))),"M/F?"))</f>
        <v>1242</v>
      </c>
      <c r="N39" s="18">
        <v>3.8</v>
      </c>
      <c r="O39" s="21">
        <f>IF($B39="M",(IF(OR(N39=0,N39*VLOOKUP($A39,Partridge!$A$3:$J$73,6)&lt;1.5),0,INT(51.39*((INT(100*((((INT(100*N39))/100)*VLOOKUP($A39,Partridge!$A$3:$J$73,6))))/100-1.5)^1.05)))),IF($B39="F",(IF(OR(N39=0,N39*2*VLOOKUP($A39,Partridge!$A$3:$J$73,6)&lt;1.5),0,INT(56.0211*((INT(100*((((INT(100*N39))/100)*2*VLOOKUP($A39,Partridge!$A$3:$J$73,6))))/100-1.5)^1.05)))),"M/F?"))</f>
        <v>681</v>
      </c>
      <c r="P39" s="18">
        <v>2.3</v>
      </c>
      <c r="Q39" s="21">
        <f>IF($B39="M",(IF(OR(P39=0,P39*VLOOKUP($A39,Partridge!$A$3:$J$73,7)&lt;1.5),0,INT(51.39*((INT(100*((((INT(100*P39))/100)*VLOOKUP($A39,Partridge!$A$3:$J$73,7))))/100-1.5)^1.05)))),IF($B39="F",(IF(OR(P39=0,P39*2*VLOOKUP($A39,Partridge!$A$3:$J$73,7)&lt;1.5),0,INT(56.0211*((INT(100*((((INT(100*P39))/100)*2*VLOOKUP($A39,Partridge!$A$3:$J$73,7))))/100-1.5)^1.05)))),"M/F?"))</f>
        <v>652</v>
      </c>
      <c r="R39" s="18">
        <v>0.92</v>
      </c>
      <c r="S39" s="21">
        <f>IF($B39="M",(IF(OR(R39=0,R39*VLOOKUP($A39,Partridge!$A$3:$J$73,8)&lt;1.5),0,INT(51.39*((INT(100*((((INT(100*R39))/100)*VLOOKUP($A39,Partridge!$A$3:$J$73,8))))/100-1.5)^1.05)))),IF($B39="F",(IF(OR(R39=0,R39*2*VLOOKUP($A39,Partridge!$A$3:$J$73,8)&lt;1.5),0,INT(56.0211*((INT(100*((((INT(100*R39))/100)*2*VLOOKUP($A39,Partridge!$A$3:$J$73,8))))/100-1.5)^1.05)))),"M/F?"))</f>
        <v>496</v>
      </c>
      <c r="T39" s="18"/>
      <c r="U39" s="21">
        <f>IF($B39="M",(IF(OR(T39=0,T39*VLOOKUP($A39,Partridge!$A$3:$J$73,9)&lt;1.5),0,INT(51.39*((INT(100*((((INT(100*T39))/100)*VLOOKUP($A39,Partridge!$A$3:$J$73,9))))/100-1.5)^1.05)))),IF($B39="F",(IF(OR(T39=0,T39*2*VLOOKUP($A39,Partridge!$A$3:$J$73,9)&lt;1.5),0,INT(56.0211*((INT(100*((((INT(100*T39))/100)*2*VLOOKUP($A39,Partridge!$A$3:$J$73,9))))/100-1.5)^1.05)))),"M/F?"))</f>
        <v>0</v>
      </c>
      <c r="V39" s="18"/>
      <c r="W39" s="21">
        <f>IF($B39="M",(IF(OR(V39=0,V39*VLOOKUP($A39,Partridge!$A$3:$J$73,10)&lt;1.5),0,INT(51.39*((INT(100*((((INT(100*V39))/100)*VLOOKUP($A39,Partridge!$A$3:$J$73,10))))/100-1.5)^1.05)))),IF($B39="F",(IF(OR(V39=0,V39*2*VLOOKUP($A39,Partridge!$A$3:$J$73,10)&lt;1.5),0,INT(56.0211*((INT(100*((((INT(100*V39))/100)*2*VLOOKUP($A39,Partridge!$A$3:$J$73,10))))/100-1.5)^1.05)))),"M/F?"))</f>
        <v>0</v>
      </c>
      <c r="X39" s="27">
        <v>38605</v>
      </c>
      <c r="Y39" s="28" t="s">
        <v>109</v>
      </c>
      <c r="Z39" s="12" t="s">
        <v>110</v>
      </c>
    </row>
    <row r="40" spans="1:26" ht="12.75">
      <c r="A40" s="6">
        <v>78</v>
      </c>
      <c r="B40" s="34" t="s">
        <v>51</v>
      </c>
      <c r="C40" t="s">
        <v>107</v>
      </c>
      <c r="D40" t="s">
        <v>108</v>
      </c>
      <c r="E40" s="21">
        <f>SUM(G40+I40+K40+M40+O40+Q40+S40+U40+W40)</f>
        <v>1108</v>
      </c>
      <c r="F40" s="18">
        <v>6.03</v>
      </c>
      <c r="G40" s="23">
        <f>IF($B40="M",(IF(OR(F40=0,F40*0.9308*VLOOKUP($A40,Partridge!$A$3:$J$73,2)&lt;1.5),0,INT(51.39*((INT(100*((((INT(100*F40))/100)*0.9308*VLOOKUP($A40,Partridge!$A$3:$J$73,2))))/100-1.5)^1.05)))),IF($B40="F",(IF(OR(F40=0,F40*2*0.9308*VLOOKUP($A40,Partridge!$A$3:$J$73,2)&lt;1.5),0,INT(56.0211*((INT(100*((((INT(100*F40))/100)*2*0.9308*VLOOKUP($A40,Partridge!$A$3:$J$73,2))))/100-1.5)^1.05)))),"M/F?"))</f>
        <v>460</v>
      </c>
      <c r="H40" s="18"/>
      <c r="I40" s="21">
        <f>IF($B40="M",(IF(OR(H40=0,H40*VLOOKUP($A40,Partridge!$A$3:$J$73,3)&lt;1.5),0,INT(51.39*((INT(100*((((INT(100*H40))/100)*VLOOKUP($A40,Partridge!$A$3:$J$73,3))))/100-1.5)^1.05)))),IF($B40="F",(IF(OR(H40=0,H40*2*VLOOKUP($A40,Partridge!$A$3:$J$73,3)&lt;1.5),0,INT(56.0211*((INT(100*((((INT(100*H40))/100)*2*VLOOKUP($A40,Partridge!$A$3:$J$73,3))))/100-1.5)^1.05)))),"M/F?"))</f>
        <v>0</v>
      </c>
      <c r="J40" s="18"/>
      <c r="K40" s="21">
        <f>IF($B40="M",(IF(OR(J40=0,J40*VLOOKUP($A40,Partridge!$A$3:$J$73,4)&lt;1.5),0,INT(51.39*((INT(100*((((INT(100*J40))/100)*VLOOKUP($A40,Partridge!$A$3:$J$73,4))))/100-1.5)^1.05)))),IF($B40="F",(IF(OR(J40=0,J40*2*VLOOKUP($A40,Partridge!$A$3:$J$73,4)&lt;1.5),0,INT(56.0211*((INT(100*((((INT(100*J40))/100)*2*VLOOKUP($A40,Partridge!$A$3:$J$73,4))))/100-1.5)^1.05)))),"M/F?"))</f>
        <v>0</v>
      </c>
      <c r="L40" s="18">
        <v>3.13</v>
      </c>
      <c r="M40" s="21">
        <f>IF($B40="M",(IF(OR(L40=0,L40*VLOOKUP($A40,Partridge!$A$3:$J$73,5)&lt;1.5),0,INT(51.39*((INT(100*((((INT(100*L40))/100)*VLOOKUP($A40,Partridge!$A$3:$J$73,5))))/100-1.5)^1.05)))),IF($B40="F",(IF(OR(L40=0,L40*2*VLOOKUP($A40,Partridge!$A$3:$J$73,5)&lt;1.5),0,INT(56.02111*((INT(100*((((INT(100*L40))/100)*2*VLOOKUP($A40,Partridge!$A$3:$J$73,5))))/100-1.5)^1.05)))),"M/F?"))</f>
        <v>648</v>
      </c>
      <c r="N40" s="18"/>
      <c r="O40" s="21">
        <f>IF($B40="M",(IF(OR(N40=0,N40*VLOOKUP($A40,Partridge!$A$3:$J$73,6)&lt;1.5),0,INT(51.39*((INT(100*((((INT(100*N40))/100)*VLOOKUP($A40,Partridge!$A$3:$J$73,6))))/100-1.5)^1.05)))),IF($B40="F",(IF(OR(N40=0,N40*2*VLOOKUP($A40,Partridge!$A$3:$J$73,6)&lt;1.5),0,INT(56.0211*((INT(100*((((INT(100*N40))/100)*2*VLOOKUP($A40,Partridge!$A$3:$J$73,6))))/100-1.5)^1.05)))),"M/F?"))</f>
        <v>0</v>
      </c>
      <c r="P40" s="18"/>
      <c r="Q40" s="21">
        <f>IF($B40="M",(IF(OR(P40=0,P40*VLOOKUP($A40,Partridge!$A$3:$J$73,7)&lt;1.5),0,INT(51.39*((INT(100*((((INT(100*P40))/100)*VLOOKUP($A40,Partridge!$A$3:$J$73,7))))/100-1.5)^1.05)))),IF($B40="F",(IF(OR(P40=0,P40*2*VLOOKUP($A40,Partridge!$A$3:$J$73,7)&lt;1.5),0,INT(56.0211*((INT(100*((((INT(100*P40))/100)*2*VLOOKUP($A40,Partridge!$A$3:$J$73,7))))/100-1.5)^1.05)))),"M/F?"))</f>
        <v>0</v>
      </c>
      <c r="R40" s="18"/>
      <c r="S40" s="21">
        <f>IF($B40="M",(IF(OR(R40=0,R40*VLOOKUP($A40,Partridge!$A$3:$J$73,8)&lt;1.5),0,INT(51.39*((INT(100*((((INT(100*R40))/100)*VLOOKUP($A40,Partridge!$A$3:$J$73,8))))/100-1.5)^1.05)))),IF($B40="F",(IF(OR(R40=0,R40*2*VLOOKUP($A40,Partridge!$A$3:$J$73,8)&lt;1.5),0,INT(56.0211*((INT(100*((((INT(100*R40))/100)*2*VLOOKUP($A40,Partridge!$A$3:$J$73,8))))/100-1.5)^1.05)))),"M/F?"))</f>
        <v>0</v>
      </c>
      <c r="T40" s="18"/>
      <c r="U40" s="21">
        <f>IF($B40="M",(IF(OR(T40=0,T40*VLOOKUP($A40,Partridge!$A$3:$J$73,9)&lt;1.5),0,INT(51.39*((INT(100*((((INT(100*T40))/100)*VLOOKUP($A40,Partridge!$A$3:$J$73,9))))/100-1.5)^1.05)))),IF($B40="F",(IF(OR(T40=0,T40*2*VLOOKUP($A40,Partridge!$A$3:$J$73,9)&lt;1.5),0,INT(56.0211*((INT(100*((((INT(100*T40))/100)*2*VLOOKUP($A40,Partridge!$A$3:$J$73,9))))/100-1.5)^1.05)))),"M/F?"))</f>
        <v>0</v>
      </c>
      <c r="V40" s="18"/>
      <c r="W40" s="21">
        <f>IF($B40="M",(IF(OR(V40=0,V40*VLOOKUP($A40,Partridge!$A$3:$J$73,10)&lt;1.5),0,INT(51.39*((INT(100*((((INT(100*V40))/100)*VLOOKUP($A40,Partridge!$A$3:$J$73,10))))/100-1.5)^1.05)))),IF($B40="F",(IF(OR(V40=0,V40*2*VLOOKUP($A40,Partridge!$A$3:$J$73,10)&lt;1.5),0,INT(56.0211*((INT(100*((((INT(100*V40))/100)*2*VLOOKUP($A40,Partridge!$A$3:$J$73,10))))/100-1.5)^1.05)))),"M/F?"))</f>
        <v>0</v>
      </c>
      <c r="X40" s="27">
        <v>38605</v>
      </c>
      <c r="Y40" s="28" t="s">
        <v>111</v>
      </c>
      <c r="Z40" s="12" t="s">
        <v>59</v>
      </c>
    </row>
    <row r="41" spans="5:23" ht="12.75">
      <c r="E41" s="24"/>
      <c r="F41" s="25"/>
      <c r="G41" s="26"/>
      <c r="H41" s="25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5"/>
      <c r="U41" s="24"/>
      <c r="V41" s="25"/>
      <c r="W41" s="24"/>
    </row>
    <row r="42" spans="5:23" ht="12.75">
      <c r="E42" s="24"/>
      <c r="F42" s="25"/>
      <c r="G42" s="26"/>
      <c r="H42" s="25"/>
      <c r="I42" s="24"/>
      <c r="J42" s="25"/>
      <c r="K42" s="24"/>
      <c r="L42" s="25"/>
      <c r="M42" s="24"/>
      <c r="N42" s="25"/>
      <c r="O42" s="24"/>
      <c r="P42" s="25"/>
      <c r="Q42" s="24"/>
      <c r="R42" s="25"/>
      <c r="S42" s="24"/>
      <c r="T42" s="25"/>
      <c r="U42" s="24"/>
      <c r="V42" s="25"/>
      <c r="W42" s="24"/>
    </row>
    <row r="43" spans="5:23" ht="12.75">
      <c r="E43" s="24"/>
      <c r="F43" s="25"/>
      <c r="G43" s="26"/>
      <c r="H43" s="25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5"/>
      <c r="U43" s="24"/>
      <c r="V43" s="25"/>
      <c r="W43" s="24"/>
    </row>
    <row r="52" spans="5:23" ht="12.75">
      <c r="E52" s="24"/>
      <c r="F52" s="25"/>
      <c r="G52" s="26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</row>
    <row r="53" spans="5:23" ht="15" customHeight="1">
      <c r="E53" s="24"/>
      <c r="F53" s="25"/>
      <c r="G53" s="26"/>
      <c r="H53" s="25"/>
      <c r="I53" s="24"/>
      <c r="J53" s="25"/>
      <c r="K53" s="24"/>
      <c r="L53" s="25"/>
      <c r="M53" s="24"/>
      <c r="N53" s="25"/>
      <c r="O53" s="24"/>
      <c r="P53" s="25"/>
      <c r="Q53" s="24"/>
      <c r="R53" s="25"/>
      <c r="S53" s="24"/>
      <c r="T53" s="25"/>
      <c r="U53" s="24"/>
      <c r="V53" s="25"/>
      <c r="W53" s="24"/>
    </row>
    <row r="54" spans="5:23" ht="12.75">
      <c r="E54" s="24"/>
      <c r="F54" s="25"/>
      <c r="G54" s="26"/>
      <c r="H54" s="25"/>
      <c r="I54" s="24"/>
      <c r="J54" s="25"/>
      <c r="K54" s="24"/>
      <c r="L54" s="25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</row>
    <row r="55" spans="5:23" ht="15" customHeight="1">
      <c r="E55" s="24"/>
      <c r="F55" s="25"/>
      <c r="G55" s="26"/>
      <c r="H55" s="25"/>
      <c r="I55" s="24"/>
      <c r="J55" s="25"/>
      <c r="K55" s="24"/>
      <c r="L55" s="25"/>
      <c r="M55" s="24"/>
      <c r="N55" s="25"/>
      <c r="O55" s="24"/>
      <c r="P55" s="25"/>
      <c r="Q55" s="24"/>
      <c r="R55" s="25"/>
      <c r="S55" s="24"/>
      <c r="T55" s="25"/>
      <c r="U55" s="24"/>
      <c r="V55" s="25"/>
      <c r="W55" s="24"/>
    </row>
    <row r="56" spans="5:23" ht="15" customHeight="1">
      <c r="E56" s="24"/>
      <c r="F56" s="25"/>
      <c r="G56" s="26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</row>
    <row r="62" spans="4:5" ht="12.75">
      <c r="D62" s="28"/>
      <c r="E62" s="28"/>
    </row>
    <row r="63" spans="4:5" ht="12.75">
      <c r="D63" s="24"/>
      <c r="E63" s="24"/>
    </row>
    <row r="64" spans="4:5" ht="12.75">
      <c r="D64" s="24"/>
      <c r="E64" s="24"/>
    </row>
    <row r="65" spans="4:5" ht="12.75">
      <c r="D65" s="24"/>
      <c r="E65" s="24"/>
    </row>
    <row r="66" spans="4:5" ht="12.75">
      <c r="D66" s="24"/>
      <c r="E66" s="24"/>
    </row>
    <row r="67" spans="4:5" ht="12.75">
      <c r="D67" s="24"/>
      <c r="E67" s="24"/>
    </row>
    <row r="68" spans="4:5" ht="12.75">
      <c r="D68" s="24"/>
      <c r="E68" s="24"/>
    </row>
    <row r="69" spans="4:5" ht="12.75">
      <c r="D69" s="24"/>
      <c r="E69" s="24"/>
    </row>
    <row r="70" spans="4:5" ht="12.75">
      <c r="D70" s="24"/>
      <c r="E70" s="24"/>
    </row>
    <row r="71" spans="4:5" ht="12.75">
      <c r="D71" s="24"/>
      <c r="E71" s="24"/>
    </row>
    <row r="72" spans="4:5" ht="12.75">
      <c r="D72" s="24"/>
      <c r="E72" s="24"/>
    </row>
    <row r="73" spans="4:5" ht="12.75">
      <c r="D73" s="24"/>
      <c r="E73" s="24"/>
    </row>
    <row r="74" spans="4:5" ht="12.75">
      <c r="D74" s="24"/>
      <c r="E74" s="24"/>
    </row>
    <row r="75" spans="4:5" ht="12.75">
      <c r="D75" s="24"/>
      <c r="E75" s="24"/>
    </row>
    <row r="76" spans="4:5" ht="12.75">
      <c r="D76" s="24"/>
      <c r="E76" s="24"/>
    </row>
    <row r="77" spans="4:5" ht="12.75">
      <c r="D77" s="24"/>
      <c r="E77" s="24"/>
    </row>
    <row r="78" spans="4:5" ht="12.75">
      <c r="D78" s="24"/>
      <c r="E78" s="24"/>
    </row>
    <row r="79" spans="4:5" ht="12.75">
      <c r="D79" s="24"/>
      <c r="E79" s="24"/>
    </row>
    <row r="80" spans="4:5" ht="12.75">
      <c r="D80" s="24"/>
      <c r="E80" s="24"/>
    </row>
    <row r="81" spans="4:5" ht="12.75">
      <c r="D81" s="24"/>
      <c r="E81" s="24"/>
    </row>
    <row r="82" spans="4:5" ht="12.75">
      <c r="D82" s="24"/>
      <c r="E82" s="24"/>
    </row>
    <row r="83" spans="4:5" ht="12.75">
      <c r="D83" s="24"/>
      <c r="E83" s="24"/>
    </row>
    <row r="84" spans="4:5" ht="12.75">
      <c r="D84" s="24"/>
      <c r="E84" s="24"/>
    </row>
    <row r="85" spans="4:5" ht="12.75">
      <c r="D85" s="24"/>
      <c r="E85" s="24"/>
    </row>
    <row r="86" spans="4:5" ht="12.75">
      <c r="D86" s="24"/>
      <c r="E86" s="24"/>
    </row>
    <row r="87" spans="4:5" ht="12.75">
      <c r="D87" s="24"/>
      <c r="E87" s="24"/>
    </row>
    <row r="88" spans="4:5" ht="12.75">
      <c r="D88" s="24"/>
      <c r="E88" s="24"/>
    </row>
    <row r="89" spans="4:5" ht="12.75">
      <c r="D89" s="24"/>
      <c r="E89" s="24"/>
    </row>
    <row r="90" spans="4:5" ht="12.75">
      <c r="D90" s="24"/>
      <c r="E90" s="24"/>
    </row>
    <row r="91" spans="4:5" ht="12.75">
      <c r="D91" s="28"/>
      <c r="E91" s="28"/>
    </row>
  </sheetData>
  <printOptions gridLines="1" horizontalCentered="1"/>
  <pageMargins left="1" right="0.25" top="1" bottom="0.25" header="0.25" footer="0"/>
  <pageSetup blackAndWhite="1" fitToHeight="1" fitToWidth="1" orientation="landscape" scale="70" r:id="rId1"/>
  <headerFooter alignWithMargins="0">
    <oddHeader>&amp;CUltra Weight Classic
Seattle, Washington
August 31, 1996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A2" sqref="A2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2005-03-08T02:51:45Z</cp:lastPrinted>
  <dcterms:created xsi:type="dcterms:W3CDTF">2001-09-05T14:01:42Z</dcterms:created>
  <dcterms:modified xsi:type="dcterms:W3CDTF">2005-09-28T00:58:53Z</dcterms:modified>
  <cp:category/>
  <cp:version/>
  <cp:contentType/>
  <cp:contentStatus/>
</cp:coreProperties>
</file>